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9" i="1" l="1"/>
  <c r="E199" i="1"/>
  <c r="G198" i="1"/>
  <c r="G197" i="1"/>
  <c r="F196" i="1"/>
  <c r="E196" i="1"/>
  <c r="G196" i="1" s="1"/>
  <c r="F195" i="1"/>
  <c r="E195" i="1"/>
  <c r="G194" i="1"/>
  <c r="G193" i="1"/>
  <c r="G192" i="1"/>
  <c r="G191" i="1"/>
  <c r="G190" i="1"/>
  <c r="F189" i="1"/>
  <c r="G189" i="1" s="1"/>
  <c r="G188" i="1"/>
  <c r="G187" i="1"/>
  <c r="G186" i="1"/>
  <c r="G185" i="1"/>
  <c r="G184" i="1"/>
  <c r="E183" i="1"/>
  <c r="G183" i="1" s="1"/>
  <c r="F182" i="1"/>
  <c r="E182" i="1"/>
  <c r="G182" i="1" s="1"/>
  <c r="G181" i="1"/>
  <c r="G180" i="1"/>
  <c r="F179" i="1"/>
  <c r="G179" i="1" s="1"/>
  <c r="E179" i="1"/>
  <c r="F178" i="1"/>
  <c r="E178" i="1"/>
  <c r="G177" i="1"/>
  <c r="F177" i="1"/>
  <c r="E177" i="1"/>
  <c r="E176" i="1"/>
  <c r="G176" i="1" s="1"/>
  <c r="E175" i="1"/>
  <c r="G175" i="1" s="1"/>
  <c r="F174" i="1"/>
  <c r="G174" i="1" s="1"/>
  <c r="E174" i="1"/>
  <c r="F173" i="1"/>
  <c r="E173" i="1"/>
  <c r="G173" i="1" s="1"/>
  <c r="F172" i="1"/>
  <c r="E172" i="1"/>
  <c r="G172" i="1" s="1"/>
  <c r="F171" i="1"/>
  <c r="E171" i="1"/>
  <c r="G171" i="1" s="1"/>
  <c r="E170" i="1"/>
  <c r="G170" i="1" s="1"/>
  <c r="E169" i="1"/>
  <c r="G169" i="1" s="1"/>
  <c r="E168" i="1"/>
  <c r="G168" i="1" s="1"/>
  <c r="F167" i="1"/>
  <c r="G167" i="1" s="1"/>
  <c r="E167" i="1"/>
  <c r="E166" i="1"/>
  <c r="G166" i="1" s="1"/>
  <c r="G165" i="1"/>
  <c r="E165" i="1"/>
  <c r="E164" i="1"/>
  <c r="G164" i="1" s="1"/>
  <c r="G163" i="1"/>
  <c r="E163" i="1"/>
  <c r="E162" i="1"/>
  <c r="G162" i="1" s="1"/>
  <c r="G161" i="1"/>
  <c r="E161" i="1"/>
  <c r="E160" i="1"/>
  <c r="G160" i="1" s="1"/>
  <c r="G159" i="1"/>
  <c r="E159" i="1"/>
  <c r="E158" i="1"/>
  <c r="G158" i="1" s="1"/>
  <c r="F157" i="1"/>
  <c r="E157" i="1"/>
  <c r="G157" i="1" s="1"/>
  <c r="E156" i="1"/>
  <c r="G156" i="1" s="1"/>
  <c r="E155" i="1"/>
  <c r="G155" i="1" s="1"/>
  <c r="E154" i="1"/>
  <c r="G154" i="1" s="1"/>
  <c r="F153" i="1"/>
  <c r="E153" i="1"/>
  <c r="G152" i="1"/>
  <c r="E152" i="1"/>
  <c r="F151" i="1"/>
  <c r="E151" i="1"/>
  <c r="G151" i="1" s="1"/>
  <c r="F150" i="1"/>
  <c r="E150" i="1"/>
  <c r="G150" i="1" s="1"/>
  <c r="E149" i="1"/>
  <c r="G149" i="1" s="1"/>
  <c r="G148" i="1"/>
  <c r="F147" i="1"/>
  <c r="E147" i="1"/>
  <c r="G146" i="1"/>
  <c r="F146" i="1"/>
  <c r="E146" i="1"/>
  <c r="E145" i="1"/>
  <c r="G145" i="1" s="1"/>
  <c r="F144" i="1"/>
  <c r="G144" i="1" s="1"/>
  <c r="E144" i="1"/>
  <c r="F143" i="1"/>
  <c r="E143" i="1"/>
  <c r="G143" i="1" s="1"/>
  <c r="F142" i="1"/>
  <c r="G142" i="1" s="1"/>
  <c r="E142" i="1"/>
  <c r="E141" i="1"/>
  <c r="G141" i="1" s="1"/>
  <c r="G140" i="1"/>
  <c r="E140" i="1"/>
  <c r="F139" i="1"/>
  <c r="E139" i="1"/>
  <c r="G139" i="1" s="1"/>
  <c r="E138" i="1"/>
  <c r="G138" i="1" s="1"/>
  <c r="F137" i="1"/>
  <c r="E137" i="1"/>
  <c r="F136" i="1"/>
  <c r="E136" i="1"/>
  <c r="G136" i="1" s="1"/>
  <c r="F135" i="1"/>
  <c r="E135" i="1"/>
  <c r="G134" i="1"/>
  <c r="E134" i="1"/>
  <c r="G133" i="1"/>
  <c r="F133" i="1"/>
  <c r="G132" i="1"/>
  <c r="F132" i="1"/>
  <c r="E132" i="1"/>
  <c r="E131" i="1"/>
  <c r="G131" i="1" s="1"/>
  <c r="E130" i="1"/>
  <c r="G130" i="1" s="1"/>
  <c r="F129" i="1"/>
  <c r="G129" i="1" s="1"/>
  <c r="E129" i="1"/>
  <c r="G128" i="1"/>
  <c r="F128" i="1"/>
  <c r="G127" i="1"/>
  <c r="F127" i="1"/>
  <c r="F126" i="1"/>
  <c r="E126" i="1"/>
  <c r="G126" i="1" s="1"/>
  <c r="E125" i="1"/>
  <c r="G125" i="1" s="1"/>
  <c r="F124" i="1"/>
  <c r="E124" i="1"/>
  <c r="G124" i="1" s="1"/>
  <c r="F123" i="1"/>
  <c r="E123" i="1"/>
  <c r="G123" i="1" s="1"/>
  <c r="F122" i="1"/>
  <c r="E122" i="1"/>
  <c r="G121" i="1"/>
  <c r="E121" i="1"/>
  <c r="E120" i="1"/>
  <c r="G120" i="1" s="1"/>
  <c r="G119" i="1"/>
  <c r="E119" i="1"/>
  <c r="F118" i="1"/>
  <c r="E118" i="1"/>
  <c r="G118" i="1" s="1"/>
  <c r="G117" i="1"/>
  <c r="F117" i="1"/>
  <c r="E117" i="1"/>
  <c r="G116" i="1"/>
  <c r="F116" i="1"/>
  <c r="G115" i="1"/>
  <c r="F115" i="1"/>
  <c r="G114" i="1"/>
  <c r="G113" i="1"/>
  <c r="E113" i="1"/>
  <c r="F112" i="1"/>
  <c r="E112" i="1"/>
  <c r="G111" i="1"/>
  <c r="G110" i="1"/>
  <c r="E109" i="1"/>
  <c r="G109" i="1" s="1"/>
  <c r="F108" i="1"/>
  <c r="E108" i="1"/>
  <c r="G108" i="1" s="1"/>
  <c r="F107" i="1"/>
  <c r="E107" i="1"/>
  <c r="G107" i="1" s="1"/>
  <c r="G106" i="1"/>
  <c r="E106" i="1"/>
  <c r="E105" i="1"/>
  <c r="G105" i="1" s="1"/>
  <c r="G104" i="1"/>
  <c r="E104" i="1"/>
  <c r="F103" i="1"/>
  <c r="E103" i="1"/>
  <c r="G103" i="1" s="1"/>
  <c r="G102" i="1"/>
  <c r="F102" i="1"/>
  <c r="E102" i="1"/>
  <c r="E101" i="1"/>
  <c r="G101" i="1" s="1"/>
  <c r="F100" i="1"/>
  <c r="G100" i="1" s="1"/>
  <c r="E100" i="1"/>
  <c r="E99" i="1"/>
  <c r="G99" i="1" s="1"/>
  <c r="F98" i="1"/>
  <c r="G98" i="1" s="1"/>
  <c r="E98" i="1"/>
  <c r="F97" i="1"/>
  <c r="E97" i="1"/>
  <c r="G97" i="1" s="1"/>
  <c r="G96" i="1"/>
  <c r="G95" i="1"/>
  <c r="F94" i="1"/>
  <c r="E94" i="1"/>
  <c r="G94" i="1" s="1"/>
  <c r="F93" i="1"/>
  <c r="E93" i="1"/>
  <c r="G93" i="1" s="1"/>
  <c r="F92" i="1"/>
  <c r="E92" i="1"/>
  <c r="G92" i="1" s="1"/>
  <c r="E91" i="1"/>
  <c r="G91" i="1" s="1"/>
  <c r="F90" i="1"/>
  <c r="E90" i="1"/>
  <c r="G90" i="1" s="1"/>
  <c r="E89" i="1"/>
  <c r="G89" i="1" s="1"/>
  <c r="F88" i="1"/>
  <c r="G88" i="1" s="1"/>
  <c r="E88" i="1"/>
  <c r="F87" i="1"/>
  <c r="E87" i="1"/>
  <c r="G87" i="1" s="1"/>
  <c r="G86" i="1"/>
  <c r="F86" i="1"/>
  <c r="E86" i="1"/>
  <c r="G85" i="1"/>
  <c r="G84" i="1"/>
  <c r="F84" i="1"/>
  <c r="E84" i="1"/>
  <c r="F83" i="1"/>
  <c r="E83" i="1"/>
  <c r="G83" i="1" s="1"/>
  <c r="F82" i="1"/>
  <c r="E82" i="1"/>
  <c r="F81" i="1"/>
  <c r="E81" i="1"/>
  <c r="G81" i="1" s="1"/>
  <c r="F80" i="1"/>
  <c r="E80" i="1"/>
  <c r="G80" i="1" s="1"/>
  <c r="G79" i="1"/>
  <c r="E79" i="1"/>
  <c r="E78" i="1"/>
  <c r="G78" i="1" s="1"/>
  <c r="E77" i="1"/>
  <c r="G77" i="1" s="1"/>
  <c r="F76" i="1"/>
  <c r="E76" i="1"/>
  <c r="G76" i="1" s="1"/>
  <c r="E75" i="1"/>
  <c r="G75" i="1" s="1"/>
  <c r="E74" i="1"/>
  <c r="G74" i="1" s="1"/>
  <c r="E73" i="1"/>
  <c r="G73" i="1" s="1"/>
  <c r="G72" i="1"/>
  <c r="F71" i="1"/>
  <c r="E71" i="1"/>
  <c r="G71" i="1" s="1"/>
  <c r="E70" i="1"/>
  <c r="G70" i="1" s="1"/>
  <c r="F69" i="1"/>
  <c r="E69" i="1"/>
  <c r="G69" i="1" s="1"/>
  <c r="G68" i="1"/>
  <c r="E68" i="1"/>
  <c r="F67" i="1"/>
  <c r="E67" i="1"/>
  <c r="G67" i="1" s="1"/>
  <c r="G66" i="1"/>
  <c r="E66" i="1"/>
  <c r="E65" i="1"/>
  <c r="G65" i="1" s="1"/>
  <c r="G64" i="1"/>
  <c r="F63" i="1"/>
  <c r="E63" i="1"/>
  <c r="G63" i="1" s="1"/>
  <c r="F62" i="1"/>
  <c r="E62" i="1"/>
  <c r="G62" i="1" s="1"/>
  <c r="G61" i="1"/>
  <c r="F60" i="1"/>
  <c r="E60" i="1"/>
  <c r="G60" i="1" s="1"/>
  <c r="F59" i="1"/>
  <c r="E59" i="1"/>
  <c r="G59" i="1" s="1"/>
  <c r="G58" i="1"/>
  <c r="E57" i="1"/>
  <c r="G57" i="1" s="1"/>
  <c r="F56" i="1"/>
  <c r="E56" i="1"/>
  <c r="G56" i="1" s="1"/>
  <c r="G55" i="1"/>
  <c r="F54" i="1"/>
  <c r="E54" i="1"/>
  <c r="G54" i="1" s="1"/>
  <c r="G53" i="1"/>
  <c r="F53" i="1"/>
  <c r="F52" i="1"/>
  <c r="E52" i="1"/>
  <c r="G52" i="1" s="1"/>
  <c r="F51" i="1"/>
  <c r="E51" i="1"/>
  <c r="G51" i="1" s="1"/>
  <c r="F50" i="1"/>
  <c r="E50" i="1"/>
  <c r="G50" i="1" s="1"/>
  <c r="F49" i="1"/>
  <c r="E49" i="1"/>
  <c r="G49" i="1" s="1"/>
  <c r="G48" i="1"/>
  <c r="F47" i="1"/>
  <c r="E47" i="1"/>
  <c r="G47" i="1" s="1"/>
  <c r="G46" i="1"/>
  <c r="E45" i="1"/>
  <c r="G45" i="1" s="1"/>
  <c r="F44" i="1"/>
  <c r="E44" i="1"/>
  <c r="G44" i="1" s="1"/>
  <c r="E43" i="1"/>
  <c r="G43" i="1" s="1"/>
  <c r="F42" i="1"/>
  <c r="E42" i="1"/>
  <c r="F41" i="1"/>
  <c r="E41" i="1"/>
  <c r="G41" i="1" s="1"/>
  <c r="G40" i="1"/>
  <c r="F40" i="1"/>
  <c r="E40" i="1"/>
  <c r="F39" i="1"/>
  <c r="E39" i="1"/>
  <c r="G39" i="1" s="1"/>
  <c r="E38" i="1"/>
  <c r="G38" i="1" s="1"/>
  <c r="G37" i="1"/>
  <c r="E36" i="1"/>
  <c r="G36" i="1" s="1"/>
  <c r="G35" i="1"/>
  <c r="F34" i="1"/>
  <c r="E34" i="1"/>
  <c r="G34" i="1" s="1"/>
  <c r="E33" i="1"/>
  <c r="G33" i="1" s="1"/>
  <c r="E32" i="1"/>
  <c r="G32" i="1" s="1"/>
  <c r="E31" i="1"/>
  <c r="G31" i="1" s="1"/>
  <c r="E30" i="1"/>
  <c r="G30" i="1" s="1"/>
  <c r="E29" i="1"/>
  <c r="G29" i="1" s="1"/>
  <c r="F28" i="1"/>
  <c r="E28" i="1"/>
  <c r="G27" i="1"/>
  <c r="F27" i="1"/>
  <c r="F26" i="1"/>
  <c r="G26" i="1" s="1"/>
  <c r="G25" i="1"/>
  <c r="F25" i="1"/>
  <c r="F24" i="1"/>
  <c r="G24" i="1" s="1"/>
  <c r="F23" i="1"/>
  <c r="E23" i="1"/>
  <c r="G23" i="1" s="1"/>
  <c r="G22" i="1"/>
  <c r="F21" i="1"/>
  <c r="E21" i="1"/>
  <c r="G21" i="1" s="1"/>
  <c r="G20" i="1"/>
  <c r="E20" i="1"/>
  <c r="F19" i="1"/>
  <c r="E19" i="1"/>
  <c r="G19" i="1" s="1"/>
  <c r="G18" i="1"/>
  <c r="E18" i="1"/>
  <c r="E17" i="1"/>
  <c r="G17" i="1" s="1"/>
  <c r="E16" i="1"/>
  <c r="G16" i="1" s="1"/>
  <c r="G15" i="1"/>
  <c r="E14" i="1"/>
  <c r="G14" i="1" s="1"/>
  <c r="F13" i="1"/>
  <c r="E13" i="1"/>
  <c r="G13" i="1" s="1"/>
  <c r="E12" i="1"/>
  <c r="G12" i="1" s="1"/>
  <c r="G200" i="1" l="1"/>
  <c r="G28" i="1"/>
  <c r="G42" i="1"/>
  <c r="G82" i="1"/>
  <c r="G112" i="1"/>
  <c r="G122" i="1"/>
  <c r="G135" i="1"/>
  <c r="G137" i="1"/>
  <c r="G147" i="1"/>
  <c r="G153" i="1"/>
  <c r="G178" i="1"/>
  <c r="G195" i="1"/>
</calcChain>
</file>

<file path=xl/sharedStrings.xml><?xml version="1.0" encoding="utf-8"?>
<sst xmlns="http://schemas.openxmlformats.org/spreadsheetml/2006/main" count="581" uniqueCount="397">
  <si>
    <t xml:space="preserve">  Dirección General Administrativa y Financiera</t>
  </si>
  <si>
    <t xml:space="preserve">Departamento de Almacén y Suministro </t>
  </si>
  <si>
    <t>Relación de Inventario Trimestral Abril, Mayo y Junio 2023</t>
  </si>
  <si>
    <t>Valores en RD$</t>
  </si>
  <si>
    <t>Descripción del Artículo</t>
  </si>
  <si>
    <t>Unidad de Medida</t>
  </si>
  <si>
    <t>Disponible</t>
  </si>
  <si>
    <t>Costo Unitario</t>
  </si>
  <si>
    <t>Monto Total</t>
  </si>
  <si>
    <t>Fecha de Registro</t>
  </si>
  <si>
    <t>Fecha de Adquisición</t>
  </si>
  <si>
    <t>Código Institucional</t>
  </si>
  <si>
    <t>Ácido muriático</t>
  </si>
  <si>
    <t>GAL</t>
  </si>
  <si>
    <t>00885</t>
  </si>
  <si>
    <t>Ambientador</t>
  </si>
  <si>
    <t>UND</t>
  </si>
  <si>
    <t>00002</t>
  </si>
  <si>
    <t xml:space="preserve">Archivo de acordeón </t>
  </si>
  <si>
    <t>00003</t>
  </si>
  <si>
    <t>Archivo muerto</t>
  </si>
  <si>
    <t>000348</t>
  </si>
  <si>
    <t>Armazón de pendaflex 8 1/2" X 11"</t>
  </si>
  <si>
    <t>00004</t>
  </si>
  <si>
    <t>Armazón de pendaflex 8 1/2" X 13"</t>
  </si>
  <si>
    <t>00005</t>
  </si>
  <si>
    <t xml:space="preserve">Azúcar blanca </t>
  </si>
  <si>
    <t>PAQ</t>
  </si>
  <si>
    <t>00886</t>
  </si>
  <si>
    <t>Azúcar crema</t>
  </si>
  <si>
    <t>00887</t>
  </si>
  <si>
    <t>Alcohol</t>
  </si>
  <si>
    <t>01018</t>
  </si>
  <si>
    <t>Banda de gomas</t>
  </si>
  <si>
    <t>CAJA</t>
  </si>
  <si>
    <t>00006</t>
  </si>
  <si>
    <t>Batería para inversor</t>
  </si>
  <si>
    <t>00362</t>
  </si>
  <si>
    <t xml:space="preserve">Bandeja para escritorio </t>
  </si>
  <si>
    <t>00007</t>
  </si>
  <si>
    <t>Bandera del Ministerio Público de exterior</t>
  </si>
  <si>
    <t>00769</t>
  </si>
  <si>
    <t>Bandera del Ministerio Público de interior</t>
  </si>
  <si>
    <t>00770</t>
  </si>
  <si>
    <t>Bandera Dominicana de exterior</t>
  </si>
  <si>
    <t>00772</t>
  </si>
  <si>
    <t xml:space="preserve">Bandera Dominicana de interior </t>
  </si>
  <si>
    <t>00773</t>
  </si>
  <si>
    <t>Bebedero de agua</t>
  </si>
  <si>
    <t>01539</t>
  </si>
  <si>
    <t>Botellitas de agua</t>
  </si>
  <si>
    <t>FDO</t>
  </si>
  <si>
    <t>00907</t>
  </si>
  <si>
    <t>Bomba para inodoro</t>
  </si>
  <si>
    <t>00888</t>
  </si>
  <si>
    <t xml:space="preserve">Borrador para pizarra </t>
  </si>
  <si>
    <t>01002</t>
  </si>
  <si>
    <t xml:space="preserve">Brillo fino </t>
  </si>
  <si>
    <t>00890</t>
  </si>
  <si>
    <t>Brillo grueso</t>
  </si>
  <si>
    <t>01040</t>
  </si>
  <si>
    <t>Brillo verde grande</t>
  </si>
  <si>
    <t>00891</t>
  </si>
  <si>
    <t>Cajas de armas cortas</t>
  </si>
  <si>
    <t>01049</t>
  </si>
  <si>
    <t>Caja de archivo tipo maletín</t>
  </si>
  <si>
    <t>01529</t>
  </si>
  <si>
    <t>Caja plástica negra</t>
  </si>
  <si>
    <t>00399</t>
  </si>
  <si>
    <t xml:space="preserve">Café </t>
  </si>
  <si>
    <t>00893</t>
  </si>
  <si>
    <t>Carpeta 1"</t>
  </si>
  <si>
    <t>00012</t>
  </si>
  <si>
    <t>Carpeta 1/2"</t>
  </si>
  <si>
    <t>00018</t>
  </si>
  <si>
    <t>Carpeta 2"</t>
  </si>
  <si>
    <t>00011</t>
  </si>
  <si>
    <t>Carpeta 1 1/2"</t>
  </si>
  <si>
    <t>00013</t>
  </si>
  <si>
    <t>Carpeta 3"</t>
  </si>
  <si>
    <t>01017</t>
  </si>
  <si>
    <t>Carpeta 4"</t>
  </si>
  <si>
    <t>01016</t>
  </si>
  <si>
    <t>CD en blanco</t>
  </si>
  <si>
    <t>00166</t>
  </si>
  <si>
    <t>Cepillos</t>
  </si>
  <si>
    <t>00894</t>
  </si>
  <si>
    <t xml:space="preserve">Cera para contar dinero </t>
  </si>
  <si>
    <t>00017</t>
  </si>
  <si>
    <t>Chincheta</t>
  </si>
  <si>
    <t>00020</t>
  </si>
  <si>
    <t>Cinta adhesiva 2"</t>
  </si>
  <si>
    <t>00432</t>
  </si>
  <si>
    <t>Cinta adhesiva 3/4"</t>
  </si>
  <si>
    <t>01059</t>
  </si>
  <si>
    <t>Clip billetero grande</t>
  </si>
  <si>
    <t>01047</t>
  </si>
  <si>
    <t>Clip para billetero pequeño</t>
  </si>
  <si>
    <t>00027</t>
  </si>
  <si>
    <t>Clip No. 1</t>
  </si>
  <si>
    <t>00028</t>
  </si>
  <si>
    <t>Clip yumbo No. 2</t>
  </si>
  <si>
    <t>00029</t>
  </si>
  <si>
    <t>Cristalizador</t>
  </si>
  <si>
    <t>02381</t>
  </si>
  <si>
    <t>Cloro</t>
  </si>
  <si>
    <t>00895</t>
  </si>
  <si>
    <t xml:space="preserve">Cloro granulado </t>
  </si>
  <si>
    <t>Credenza</t>
  </si>
  <si>
    <t>01886</t>
  </si>
  <si>
    <t>Corrector líquido blanco tipo lápiz</t>
  </si>
  <si>
    <t>01060</t>
  </si>
  <si>
    <t>Cubeta plástica</t>
  </si>
  <si>
    <t>00898</t>
  </si>
  <si>
    <t>Cucharas plásticas</t>
  </si>
  <si>
    <t>00899</t>
  </si>
  <si>
    <t>Desinfectante</t>
  </si>
  <si>
    <t xml:space="preserve">GAL </t>
  </si>
  <si>
    <t>00902</t>
  </si>
  <si>
    <t>Detergente suelto</t>
  </si>
  <si>
    <t>00903</t>
  </si>
  <si>
    <t>Desengrasante</t>
  </si>
  <si>
    <t>01178</t>
  </si>
  <si>
    <t>Dispensador cinta adhesiva de 2"</t>
  </si>
  <si>
    <t>00031</t>
  </si>
  <si>
    <t>Dispensador de cinta adhesiva de 3/4"</t>
  </si>
  <si>
    <t>00032</t>
  </si>
  <si>
    <t>Dispensador de jabón líquido</t>
  </si>
  <si>
    <t>00499</t>
  </si>
  <si>
    <t>Dispensador de papel de baño tork</t>
  </si>
  <si>
    <t>00497</t>
  </si>
  <si>
    <t>Dispensador de papel toalla</t>
  </si>
  <si>
    <t>00498</t>
  </si>
  <si>
    <t>DVD en blanco</t>
  </si>
  <si>
    <t>00178</t>
  </si>
  <si>
    <t>Escoba</t>
  </si>
  <si>
    <t>00905</t>
  </si>
  <si>
    <t>Escobilla de inodoro</t>
  </si>
  <si>
    <t>00503</t>
  </si>
  <si>
    <t>Escobillones</t>
  </si>
  <si>
    <t>00906</t>
  </si>
  <si>
    <t>Espirales para encuadernar (25 hojas)</t>
  </si>
  <si>
    <t>01174</t>
  </si>
  <si>
    <t>Espirales para encuadernar (50 hojas)</t>
  </si>
  <si>
    <t>00033</t>
  </si>
  <si>
    <t xml:space="preserve">Esponja para limpiar </t>
  </si>
  <si>
    <t>01041</t>
  </si>
  <si>
    <t>Etiquetas para folders</t>
  </si>
  <si>
    <t>00035</t>
  </si>
  <si>
    <t xml:space="preserve">Felpas </t>
  </si>
  <si>
    <t>00036</t>
  </si>
  <si>
    <t>Folder 8 1/2"  X 13"</t>
  </si>
  <si>
    <t>00038</t>
  </si>
  <si>
    <t>Folder del Ministerio Público</t>
  </si>
  <si>
    <t>00040</t>
  </si>
  <si>
    <t>Funda de basura 18"X22"</t>
  </si>
  <si>
    <t>00911</t>
  </si>
  <si>
    <t>Funda de basura 55 Gal</t>
  </si>
  <si>
    <t>00909</t>
  </si>
  <si>
    <t>Funda de basura 24"X30"</t>
  </si>
  <si>
    <t>00908</t>
  </si>
  <si>
    <t xml:space="preserve">Gancho para folders </t>
  </si>
  <si>
    <t xml:space="preserve">CAJA </t>
  </si>
  <si>
    <t>00043</t>
  </si>
  <si>
    <t>Goma de borrar</t>
  </si>
  <si>
    <t>01176</t>
  </si>
  <si>
    <t>Grapadora</t>
  </si>
  <si>
    <t>01053</t>
  </si>
  <si>
    <t>Grapadora Rapid Metal</t>
  </si>
  <si>
    <t>02037</t>
  </si>
  <si>
    <t>Grapas estándar</t>
  </si>
  <si>
    <t>00045</t>
  </si>
  <si>
    <t>Grapas industriales</t>
  </si>
  <si>
    <t>00044</t>
  </si>
  <si>
    <t>Guantes de goma</t>
  </si>
  <si>
    <t>PAR</t>
  </si>
  <si>
    <t>00865</t>
  </si>
  <si>
    <t>Hoja para encuadernar</t>
  </si>
  <si>
    <t>00046</t>
  </si>
  <si>
    <t xml:space="preserve">Jabón de fregar </t>
  </si>
  <si>
    <t>00916</t>
  </si>
  <si>
    <t>Jabón limpiol (bola)</t>
  </si>
  <si>
    <t>00914</t>
  </si>
  <si>
    <t>Jabón líquido</t>
  </si>
  <si>
    <t>00913</t>
  </si>
  <si>
    <t>Insectisida en spray</t>
  </si>
  <si>
    <t>01677</t>
  </si>
  <si>
    <t>Gel antibacterial para manos</t>
  </si>
  <si>
    <t>00871</t>
  </si>
  <si>
    <t>Lanilla</t>
  </si>
  <si>
    <t>YAR</t>
  </si>
  <si>
    <t>01039</t>
  </si>
  <si>
    <t>Lapiceros azules</t>
  </si>
  <si>
    <t>00048</t>
  </si>
  <si>
    <t>Lapiceros negros</t>
  </si>
  <si>
    <t>01050</t>
  </si>
  <si>
    <t xml:space="preserve">Lápiz de carbón </t>
  </si>
  <si>
    <t>00049</t>
  </si>
  <si>
    <t>Libreta post 2"X2"</t>
  </si>
  <si>
    <t>01043</t>
  </si>
  <si>
    <t>Libreta post 2"X3"</t>
  </si>
  <si>
    <t>01044</t>
  </si>
  <si>
    <t>Libreta post 3"X3"</t>
  </si>
  <si>
    <t>01409</t>
  </si>
  <si>
    <t>Libreta post 3"X5"</t>
  </si>
  <si>
    <t>01407</t>
  </si>
  <si>
    <t>Libreta rayada grande</t>
  </si>
  <si>
    <t>16/012017</t>
  </si>
  <si>
    <t>00053</t>
  </si>
  <si>
    <t xml:space="preserve">Libreta rayada pequeña </t>
  </si>
  <si>
    <t>00051</t>
  </si>
  <si>
    <t>Libro récord de 300 páginas</t>
  </si>
  <si>
    <t>00054</t>
  </si>
  <si>
    <t>Libro récord de 500 páginas</t>
  </si>
  <si>
    <t>00055</t>
  </si>
  <si>
    <t>Limpia cristal</t>
  </si>
  <si>
    <t>00918</t>
  </si>
  <si>
    <t>Limpiador multiusos</t>
  </si>
  <si>
    <t>02382</t>
  </si>
  <si>
    <t>Limpiador de aire</t>
  </si>
  <si>
    <t>01485</t>
  </si>
  <si>
    <t xml:space="preserve">Marcadores </t>
  </si>
  <si>
    <t>00056</t>
  </si>
  <si>
    <t>Marcadores para pizarra</t>
  </si>
  <si>
    <t>00057</t>
  </si>
  <si>
    <t>Mascarillas quirúrgicas</t>
  </si>
  <si>
    <t>01057</t>
  </si>
  <si>
    <t xml:space="preserve">Microondas </t>
  </si>
  <si>
    <t>01653</t>
  </si>
  <si>
    <t>Nevera ejecutiva</t>
  </si>
  <si>
    <t>02064</t>
  </si>
  <si>
    <t>Papel baño tork</t>
  </si>
  <si>
    <t>ROLLO</t>
  </si>
  <si>
    <t>00293</t>
  </si>
  <si>
    <t>Papel bon 8 1/2" X 11"</t>
  </si>
  <si>
    <t>RESMAS</t>
  </si>
  <si>
    <t>00059</t>
  </si>
  <si>
    <t>Papel bon 8 1/2" X 13"</t>
  </si>
  <si>
    <t>00060</t>
  </si>
  <si>
    <t>Papel bon 8 1/2" X 14"</t>
  </si>
  <si>
    <t>00061</t>
  </si>
  <si>
    <t>Papel bon 11" X 17"</t>
  </si>
  <si>
    <t>00058</t>
  </si>
  <si>
    <t>Papel para máquina de sumar</t>
  </si>
  <si>
    <t>00063</t>
  </si>
  <si>
    <t>Papel toalla</t>
  </si>
  <si>
    <t>00944</t>
  </si>
  <si>
    <t>Pendaflex 8 1/2" X 11"</t>
  </si>
  <si>
    <t>00065</t>
  </si>
  <si>
    <t>Pendaflex 8 1/2" X 13"</t>
  </si>
  <si>
    <t>00066</t>
  </si>
  <si>
    <t>Perforadora de 2 hoyos</t>
  </si>
  <si>
    <t>00067</t>
  </si>
  <si>
    <t>Perforadora de 3 hoyos</t>
  </si>
  <si>
    <t>01045</t>
  </si>
  <si>
    <t>01046</t>
  </si>
  <si>
    <t>Piedra de olor</t>
  </si>
  <si>
    <t>00925</t>
  </si>
  <si>
    <t>Pizarra blanca</t>
  </si>
  <si>
    <t>00068</t>
  </si>
  <si>
    <t>Pizarra de corcho grande</t>
  </si>
  <si>
    <t>00621</t>
  </si>
  <si>
    <t>Porta clip</t>
  </si>
  <si>
    <t>00069</t>
  </si>
  <si>
    <t>Porta lápiz</t>
  </si>
  <si>
    <t>00070</t>
  </si>
  <si>
    <t xml:space="preserve">Post it banderita </t>
  </si>
  <si>
    <t>01061</t>
  </si>
  <si>
    <t xml:space="preserve">Protector para hoja transparente </t>
  </si>
  <si>
    <t>24/01/207</t>
  </si>
  <si>
    <t>00071</t>
  </si>
  <si>
    <t>Recogedor de basura</t>
  </si>
  <si>
    <t>00930</t>
  </si>
  <si>
    <t>Regla plástica</t>
  </si>
  <si>
    <t>01011</t>
  </si>
  <si>
    <t>Removedor de manchas</t>
  </si>
  <si>
    <t>01680</t>
  </si>
  <si>
    <t>Resaltador</t>
  </si>
  <si>
    <t>Sacagrapas</t>
  </si>
  <si>
    <t>00072</t>
  </si>
  <si>
    <t xml:space="preserve">Sacapunta eléctrico </t>
  </si>
  <si>
    <t>00073</t>
  </si>
  <si>
    <t>Servilleta 500</t>
  </si>
  <si>
    <t>00931</t>
  </si>
  <si>
    <t>Sobre blanco #10</t>
  </si>
  <si>
    <t>00083</t>
  </si>
  <si>
    <t>Sobre manila 10"X13"</t>
  </si>
  <si>
    <t>00081</t>
  </si>
  <si>
    <t>Sobre manila 10"X15"</t>
  </si>
  <si>
    <t>00084</t>
  </si>
  <si>
    <t>Sobre manila 9"X12"</t>
  </si>
  <si>
    <t>00082</t>
  </si>
  <si>
    <t>Suaper grande #28</t>
  </si>
  <si>
    <t>00932</t>
  </si>
  <si>
    <t>Teléfono IP</t>
  </si>
  <si>
    <t>00236</t>
  </si>
  <si>
    <t>Tenedores plásticos</t>
  </si>
  <si>
    <t>00936</t>
  </si>
  <si>
    <t>Tijeras</t>
  </si>
  <si>
    <t>01408</t>
  </si>
  <si>
    <t>Tinta en gotero para sello azul</t>
  </si>
  <si>
    <t>00088</t>
  </si>
  <si>
    <t>Tinta en gotero para sello negra</t>
  </si>
  <si>
    <t>01170</t>
  </si>
  <si>
    <t>Toalla de cocina p/desempolvar</t>
  </si>
  <si>
    <t>00938</t>
  </si>
  <si>
    <t>Tóner  CE 278 A</t>
  </si>
  <si>
    <t>00246</t>
  </si>
  <si>
    <t>Tóner CE 252 A</t>
  </si>
  <si>
    <t>T252</t>
  </si>
  <si>
    <t>Tóner CE 253A</t>
  </si>
  <si>
    <t>00245</t>
  </si>
  <si>
    <t>Tóner CE 285 A</t>
  </si>
  <si>
    <t>01169</t>
  </si>
  <si>
    <t>Tóner CE 250A</t>
  </si>
  <si>
    <t>00243</t>
  </si>
  <si>
    <t>Tóner CE 251A</t>
  </si>
  <si>
    <t>00244</t>
  </si>
  <si>
    <t xml:space="preserve">Tóner CF 217 </t>
  </si>
  <si>
    <t>00251</t>
  </si>
  <si>
    <t>Tóner CF 219</t>
  </si>
  <si>
    <t>00252</t>
  </si>
  <si>
    <t>Tóner CF 283A</t>
  </si>
  <si>
    <t>00253</t>
  </si>
  <si>
    <t>Tóner CF 400A</t>
  </si>
  <si>
    <t>00255</t>
  </si>
  <si>
    <t>Tóner CF 401A</t>
  </si>
  <si>
    <t>00256</t>
  </si>
  <si>
    <t>Tóner CF 402A</t>
  </si>
  <si>
    <t>00257</t>
  </si>
  <si>
    <t>Tóner CF 403A</t>
  </si>
  <si>
    <t>00258</t>
  </si>
  <si>
    <t>Tóner CF 410A</t>
  </si>
  <si>
    <t>00267</t>
  </si>
  <si>
    <t>Tóner CF 411 A</t>
  </si>
  <si>
    <t>00273</t>
  </si>
  <si>
    <t>Tóner CF 412A</t>
  </si>
  <si>
    <t>00274</t>
  </si>
  <si>
    <t>Tóner CF 413A</t>
  </si>
  <si>
    <t>00275</t>
  </si>
  <si>
    <t>Tóner CF 500</t>
  </si>
  <si>
    <t>00276</t>
  </si>
  <si>
    <t>Tóner CF 501</t>
  </si>
  <si>
    <t>00277</t>
  </si>
  <si>
    <t>Tóner CF 502</t>
  </si>
  <si>
    <t>00278</t>
  </si>
  <si>
    <t xml:space="preserve">Tóner CF 503 </t>
  </si>
  <si>
    <t>00279</t>
  </si>
  <si>
    <t>Tóner HP 05A</t>
  </si>
  <si>
    <t>00239</t>
  </si>
  <si>
    <t>Tóner CE 505X</t>
  </si>
  <si>
    <t>01835</t>
  </si>
  <si>
    <t>Tóner HP 12A</t>
  </si>
  <si>
    <t>00264</t>
  </si>
  <si>
    <t>Tóner HP 26 A</t>
  </si>
  <si>
    <t>00271</t>
  </si>
  <si>
    <t>Tóner HP 30 A</t>
  </si>
  <si>
    <t>00259</t>
  </si>
  <si>
    <t>Tóner HP 32 A</t>
  </si>
  <si>
    <t>00272</t>
  </si>
  <si>
    <t>Tóner HP 53 A</t>
  </si>
  <si>
    <t>00268</t>
  </si>
  <si>
    <t>Tóner HP 55 A</t>
  </si>
  <si>
    <t>00269</t>
  </si>
  <si>
    <t>Tóner HP 96A</t>
  </si>
  <si>
    <t>00295</t>
  </si>
  <si>
    <t>Tóner Sharp AL 100 TDN</t>
  </si>
  <si>
    <t>01042</t>
  </si>
  <si>
    <t>Tóner Toshiba T-5070U</t>
  </si>
  <si>
    <t>01544</t>
  </si>
  <si>
    <t>Tóner Versalink B400/B405</t>
  </si>
  <si>
    <t>01636</t>
  </si>
  <si>
    <t>Tóner Cannon C120</t>
  </si>
  <si>
    <t>01569</t>
  </si>
  <si>
    <t>Tóner Ricoh 212D-2522-5627</t>
  </si>
  <si>
    <t>02003</t>
  </si>
  <si>
    <t>Tóner CB435 35A</t>
  </si>
  <si>
    <t>01646</t>
  </si>
  <si>
    <t>Memoria de 64GB</t>
  </si>
  <si>
    <t>02301</t>
  </si>
  <si>
    <t xml:space="preserve">Disco Duro externos de 4TB </t>
  </si>
  <si>
    <t>01634</t>
  </si>
  <si>
    <t>Disco Duro externos de 2TB</t>
  </si>
  <si>
    <t>01554</t>
  </si>
  <si>
    <t>Vaso No. 5</t>
  </si>
  <si>
    <t>00943</t>
  </si>
  <si>
    <t>Vaso No. 7</t>
  </si>
  <si>
    <t>00940</t>
  </si>
  <si>
    <t>Vaso No. 10</t>
  </si>
  <si>
    <t>00942</t>
  </si>
  <si>
    <t>Vaso No. 2</t>
  </si>
  <si>
    <t>01681</t>
  </si>
  <si>
    <t>Zafacón de oficina plástico</t>
  </si>
  <si>
    <t>00089</t>
  </si>
  <si>
    <t xml:space="preserve">TOTAL </t>
  </si>
  <si>
    <t xml:space="preserve">                       ING. JOSÉ JORGE DÍAZ MUSA</t>
  </si>
  <si>
    <t xml:space="preserve">                         Encargado de Almacén y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</si>
</sst>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&quot;$&quot;#,##0.00_);\(&quot;$&quot;#,##0.00\)"/>
    <numFmt numFmtId="165" formatCode="&quot;$&quot;#,##0.00"/>
    <numFmt numFmtId="166" formatCode="&quot;$&quot;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ill Sans MT"/>
      <family val="2"/>
    </font>
    <font>
      <b/>
      <sz val="15"/>
      <name val="Gill Sans MT"/>
      <family val="2"/>
    </font>
    <font>
      <sz val="14"/>
      <name val="Gill Sans MT"/>
      <family val="2"/>
    </font>
    <font>
      <sz val="13"/>
      <name val="Gill Sans MT"/>
      <family val="2"/>
    </font>
    <font>
      <sz val="12"/>
      <name val="Gill Sans MT"/>
      <family val="2"/>
    </font>
    <font>
      <b/>
      <sz val="12"/>
      <name val="Gill Sans MT"/>
      <family val="2"/>
    </font>
    <font>
      <sz val="12"/>
      <color theme="1"/>
      <name val="Calibri"/>
      <family val="2"/>
      <scheme val="minor"/>
    </font>
    <font>
      <sz val="12"/>
      <color theme="1"/>
      <name val="Gill Sans MT"/>
      <family val="2"/>
    </font>
    <font>
      <sz val="12"/>
      <name val="Arial"/>
      <family val="2"/>
    </font>
    <font>
      <b/>
      <sz val="12"/>
      <color theme="1"/>
      <name val="Gill Sans MT"/>
      <family val="2"/>
    </font>
    <font>
      <b/>
      <i/>
      <sz val="11"/>
      <color theme="2" tint="-0.749992370372631"/>
      <name val="Gill Sans MT"/>
      <family val="2"/>
    </font>
    <font>
      <b/>
      <sz val="10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0" fontId="3" fillId="2" borderId="0" xfId="3" applyFont="1" applyFill="1" applyAlignment="1">
      <alignment vertical="center"/>
    </xf>
    <xf numFmtId="0" fontId="0" fillId="2" borderId="0" xfId="0" applyFill="1"/>
    <xf numFmtId="0" fontId="6" fillId="2" borderId="0" xfId="3" applyFont="1" applyFill="1" applyAlignment="1">
      <alignment vertical="center"/>
    </xf>
    <xf numFmtId="0" fontId="7" fillId="2" borderId="0" xfId="3" applyFont="1" applyFill="1" applyAlignment="1">
      <alignment vertical="center"/>
    </xf>
    <xf numFmtId="0" fontId="8" fillId="2" borderId="2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0" borderId="0" xfId="0" applyFont="1"/>
    <xf numFmtId="0" fontId="7" fillId="2" borderId="0" xfId="3" applyFont="1" applyFill="1" applyAlignment="1">
      <alignment horizontal="center" vertical="center"/>
    </xf>
    <xf numFmtId="0" fontId="7" fillId="2" borderId="3" xfId="3" applyFont="1" applyFill="1" applyBorder="1" applyAlignment="1">
      <alignment vertical="center"/>
    </xf>
    <xf numFmtId="0" fontId="7" fillId="2" borderId="3" xfId="3" applyFont="1" applyFill="1" applyBorder="1" applyAlignment="1">
      <alignment horizontal="center" vertical="center"/>
    </xf>
    <xf numFmtId="3" fontId="7" fillId="2" borderId="3" xfId="3" applyNumberFormat="1" applyFont="1" applyFill="1" applyBorder="1" applyAlignment="1">
      <alignment horizontal="center" vertical="center"/>
    </xf>
    <xf numFmtId="164" fontId="7" fillId="2" borderId="3" xfId="2" applyNumberFormat="1" applyFont="1" applyFill="1" applyBorder="1" applyAlignment="1">
      <alignment vertical="center" wrapText="1"/>
    </xf>
    <xf numFmtId="165" fontId="7" fillId="2" borderId="4" xfId="2" applyNumberFormat="1" applyFont="1" applyFill="1" applyBorder="1" applyAlignment="1">
      <alignment horizontal="right" vertical="center" wrapText="1"/>
    </xf>
    <xf numFmtId="14" fontId="7" fillId="2" borderId="5" xfId="3" applyNumberFormat="1" applyFont="1" applyFill="1" applyBorder="1" applyAlignment="1">
      <alignment horizontal="center" vertical="center"/>
    </xf>
    <xf numFmtId="14" fontId="7" fillId="2" borderId="3" xfId="3" applyNumberFormat="1" applyFont="1" applyFill="1" applyBorder="1" applyAlignment="1">
      <alignment horizontal="center" vertical="center"/>
    </xf>
    <xf numFmtId="49" fontId="7" fillId="2" borderId="3" xfId="3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2" borderId="3" xfId="3" applyFont="1" applyFill="1" applyBorder="1" applyAlignment="1">
      <alignment vertical="center"/>
    </xf>
    <xf numFmtId="0" fontId="10" fillId="2" borderId="3" xfId="3" applyFont="1" applyFill="1" applyBorder="1" applyAlignment="1">
      <alignment horizontal="center" vertical="center"/>
    </xf>
    <xf numFmtId="3" fontId="10" fillId="2" borderId="3" xfId="3" applyNumberFormat="1" applyFont="1" applyFill="1" applyBorder="1" applyAlignment="1">
      <alignment horizontal="center" vertical="center"/>
    </xf>
    <xf numFmtId="49" fontId="7" fillId="2" borderId="3" xfId="3" applyNumberFormat="1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vertical="center" wrapText="1"/>
    </xf>
    <xf numFmtId="0" fontId="7" fillId="2" borderId="3" xfId="3" applyFont="1" applyFill="1" applyBorder="1" applyAlignment="1">
      <alignment horizontal="center" vertical="center" wrapText="1"/>
    </xf>
    <xf numFmtId="165" fontId="7" fillId="2" borderId="3" xfId="2" applyNumberFormat="1" applyFont="1" applyFill="1" applyBorder="1" applyAlignment="1">
      <alignment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165" fontId="9" fillId="2" borderId="0" xfId="0" applyNumberFormat="1" applyFont="1" applyFill="1" applyAlignment="1">
      <alignment vertical="center"/>
    </xf>
    <xf numFmtId="0" fontId="10" fillId="2" borderId="0" xfId="3" applyFont="1" applyFill="1" applyAlignment="1">
      <alignment vertical="center"/>
    </xf>
    <xf numFmtId="2" fontId="10" fillId="2" borderId="3" xfId="2" applyNumberFormat="1" applyFont="1" applyFill="1" applyBorder="1" applyAlignment="1">
      <alignment vertical="center" wrapText="1"/>
    </xf>
    <xf numFmtId="165" fontId="10" fillId="2" borderId="4" xfId="2" applyNumberFormat="1" applyFont="1" applyFill="1" applyBorder="1" applyAlignment="1">
      <alignment horizontal="right" vertical="center" wrapText="1"/>
    </xf>
    <xf numFmtId="14" fontId="10" fillId="2" borderId="5" xfId="3" applyNumberFormat="1" applyFont="1" applyFill="1" applyBorder="1" applyAlignment="1">
      <alignment horizontal="center" vertical="center"/>
    </xf>
    <xf numFmtId="14" fontId="10" fillId="2" borderId="3" xfId="3" applyNumberFormat="1" applyFont="1" applyFill="1" applyBorder="1" applyAlignment="1">
      <alignment horizontal="center" vertical="center"/>
    </xf>
    <xf numFmtId="49" fontId="10" fillId="2" borderId="3" xfId="3" applyNumberFormat="1" applyFont="1" applyFill="1" applyBorder="1" applyAlignment="1">
      <alignment horizontal="center" vertical="center"/>
    </xf>
    <xf numFmtId="165" fontId="7" fillId="2" borderId="4" xfId="2" applyNumberFormat="1" applyFont="1" applyFill="1" applyBorder="1" applyAlignment="1">
      <alignment horizontal="right" vertical="center"/>
    </xf>
    <xf numFmtId="0" fontId="7" fillId="2" borderId="5" xfId="3" applyFont="1" applyFill="1" applyBorder="1" applyAlignment="1">
      <alignment horizontal="center" vertical="center"/>
    </xf>
    <xf numFmtId="2" fontId="7" fillId="2" borderId="3" xfId="2" applyNumberFormat="1" applyFont="1" applyFill="1" applyBorder="1" applyAlignment="1">
      <alignment vertical="center" wrapText="1"/>
    </xf>
    <xf numFmtId="3" fontId="10" fillId="2" borderId="6" xfId="3" applyNumberFormat="1" applyFont="1" applyFill="1" applyBorder="1" applyAlignment="1">
      <alignment horizontal="center" vertical="center"/>
    </xf>
    <xf numFmtId="164" fontId="7" fillId="2" borderId="6" xfId="2" applyNumberFormat="1" applyFont="1" applyFill="1" applyBorder="1" applyAlignment="1">
      <alignment vertical="center" wrapText="1"/>
    </xf>
    <xf numFmtId="14" fontId="7" fillId="2" borderId="6" xfId="3" applyNumberFormat="1" applyFont="1" applyFill="1" applyBorder="1" applyAlignment="1">
      <alignment horizontal="center" vertical="center"/>
    </xf>
    <xf numFmtId="165" fontId="7" fillId="2" borderId="7" xfId="2" applyNumberFormat="1" applyFont="1" applyFill="1" applyBorder="1" applyAlignment="1">
      <alignment horizontal="right" vertical="center" wrapText="1"/>
    </xf>
    <xf numFmtId="14" fontId="7" fillId="2" borderId="8" xfId="3" applyNumberFormat="1" applyFont="1" applyFill="1" applyBorder="1" applyAlignment="1">
      <alignment horizontal="center" vertical="center"/>
    </xf>
    <xf numFmtId="49" fontId="7" fillId="2" borderId="6" xfId="3" applyNumberFormat="1" applyFont="1" applyFill="1" applyBorder="1" applyAlignment="1">
      <alignment horizontal="center" vertical="center"/>
    </xf>
    <xf numFmtId="0" fontId="7" fillId="2" borderId="9" xfId="3" applyFont="1" applyFill="1" applyBorder="1" applyAlignment="1">
      <alignment vertical="center"/>
    </xf>
    <xf numFmtId="0" fontId="7" fillId="2" borderId="9" xfId="3" applyFont="1" applyFill="1" applyBorder="1" applyAlignment="1">
      <alignment horizontal="center" vertical="center"/>
    </xf>
    <xf numFmtId="3" fontId="7" fillId="2" borderId="9" xfId="3" applyNumberFormat="1" applyFont="1" applyFill="1" applyBorder="1" applyAlignment="1">
      <alignment horizontal="center" vertical="center"/>
    </xf>
    <xf numFmtId="164" fontId="7" fillId="2" borderId="9" xfId="2" applyNumberFormat="1" applyFont="1" applyFill="1" applyBorder="1" applyAlignment="1">
      <alignment vertical="center" wrapText="1"/>
    </xf>
    <xf numFmtId="165" fontId="7" fillId="2" borderId="10" xfId="2" applyNumberFormat="1" applyFont="1" applyFill="1" applyBorder="1" applyAlignment="1">
      <alignment horizontal="right" vertical="center" wrapText="1"/>
    </xf>
    <xf numFmtId="14" fontId="7" fillId="2" borderId="11" xfId="3" applyNumberFormat="1" applyFont="1" applyFill="1" applyBorder="1" applyAlignment="1">
      <alignment horizontal="center" vertical="center"/>
    </xf>
    <xf numFmtId="14" fontId="7" fillId="2" borderId="9" xfId="3" applyNumberFormat="1" applyFont="1" applyFill="1" applyBorder="1" applyAlignment="1">
      <alignment horizontal="center" vertical="center"/>
    </xf>
    <xf numFmtId="49" fontId="7" fillId="2" borderId="9" xfId="3" applyNumberFormat="1" applyFont="1" applyFill="1" applyBorder="1" applyAlignment="1">
      <alignment horizontal="center" vertical="center" wrapText="1"/>
    </xf>
    <xf numFmtId="0" fontId="11" fillId="2" borderId="0" xfId="3" applyFont="1" applyFill="1" applyAlignment="1">
      <alignment vertical="center"/>
    </xf>
    <xf numFmtId="14" fontId="8" fillId="2" borderId="0" xfId="3" applyNumberFormat="1" applyFont="1" applyFill="1" applyAlignment="1">
      <alignment horizontal="center" vertical="center"/>
    </xf>
    <xf numFmtId="0" fontId="8" fillId="2" borderId="12" xfId="3" applyFont="1" applyFill="1" applyBorder="1" applyAlignment="1">
      <alignment horizontal="center" vertical="center"/>
    </xf>
    <xf numFmtId="166" fontId="8" fillId="2" borderId="12" xfId="2" applyNumberFormat="1" applyFont="1" applyFill="1" applyBorder="1" applyAlignment="1">
      <alignment vertical="center"/>
    </xf>
    <xf numFmtId="0" fontId="12" fillId="2" borderId="0" xfId="3" applyFont="1" applyFill="1"/>
    <xf numFmtId="164" fontId="8" fillId="2" borderId="0" xfId="3" applyNumberFormat="1" applyFont="1" applyFill="1" applyAlignment="1">
      <alignment horizontal="center" vertical="center"/>
    </xf>
    <xf numFmtId="165" fontId="8" fillId="2" borderId="0" xfId="2" applyNumberFormat="1" applyFont="1" applyFill="1" applyBorder="1" applyAlignment="1">
      <alignment vertical="center"/>
    </xf>
    <xf numFmtId="0" fontId="13" fillId="2" borderId="0" xfId="3" applyFont="1" applyFill="1" applyAlignment="1">
      <alignment vertical="center"/>
    </xf>
    <xf numFmtId="0" fontId="14" fillId="2" borderId="0" xfId="3" applyFont="1" applyFill="1" applyAlignment="1">
      <alignment vertical="center"/>
    </xf>
    <xf numFmtId="165" fontId="8" fillId="2" borderId="0" xfId="3" applyNumberFormat="1" applyFont="1" applyFill="1" applyAlignment="1">
      <alignment horizontal="center" vertical="center"/>
    </xf>
    <xf numFmtId="0" fontId="2" fillId="2" borderId="0" xfId="3" applyFill="1" applyAlignment="1">
      <alignment vertical="center"/>
    </xf>
    <xf numFmtId="0" fontId="8" fillId="2" borderId="0" xfId="3" applyFont="1" applyFill="1" applyAlignment="1">
      <alignment horizontal="center" vertical="center"/>
    </xf>
    <xf numFmtId="0" fontId="12" fillId="2" borderId="0" xfId="3" applyFont="1" applyFill="1" applyAlignment="1">
      <alignment horizontal="center"/>
    </xf>
    <xf numFmtId="4" fontId="12" fillId="2" borderId="0" xfId="3" applyNumberFormat="1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7" fillId="2" borderId="0" xfId="3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3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49" fontId="5" fillId="2" borderId="0" xfId="3" applyNumberFormat="1" applyFont="1" applyFill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353788</xdr:colOff>
      <xdr:row>1</xdr:row>
      <xdr:rowOff>172356</xdr:rowOff>
    </xdr:from>
    <xdr:to>
      <xdr:col>6</xdr:col>
      <xdr:colOff>892631</xdr:colOff>
      <xdr:row>4</xdr:row>
      <xdr:rowOff>117928</xdr:rowOff>
    </xdr:to>
    <xdr:pic>
      <xdr:nvPicPr>
        <xdr:cNvPr id="2" name="Imagen 1" descr="Resultado de imagen para logo ministerio publ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51" t="27273" r="13436" b="23377"/>
        <a:stretch/>
      </xdr:blipFill>
      <xdr:spPr bwMode="auto">
        <a:xfrm>
          <a:off x="7792813" y="362856"/>
          <a:ext cx="1586593" cy="51707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1034143</xdr:colOff>
      <xdr:row>206</xdr:row>
      <xdr:rowOff>0</xdr:rowOff>
    </xdr:from>
    <xdr:to>
      <xdr:col>7</xdr:col>
      <xdr:colOff>299358</xdr:colOff>
      <xdr:row>206</xdr:row>
      <xdr:rowOff>13607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7006318" y="49329975"/>
          <a:ext cx="3856265" cy="13607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INVENTARIO%20MENSUAL%20-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IO MENSUAL"/>
      <sheetName val="INFORME MENSUAL"/>
      <sheetName val="OFICINA"/>
      <sheetName val="INFORMÁTICA"/>
      <sheetName val="MISCELÁNEOS"/>
      <sheetName val="MAYORDOMIA"/>
      <sheetName val="SALUD"/>
      <sheetName val="MOBILIARIO"/>
      <sheetName val="BIENES DE CONSUMO"/>
      <sheetName val="Sub-Cuentas 2022"/>
      <sheetName val="Sub-Cuentas"/>
    </sheetNames>
    <sheetDataSet>
      <sheetData sheetId="0">
        <row r="21">
          <cell r="AY21">
            <v>1</v>
          </cell>
        </row>
        <row r="22">
          <cell r="AY22">
            <v>54</v>
          </cell>
        </row>
        <row r="23">
          <cell r="AY23">
            <v>70</v>
          </cell>
        </row>
        <row r="24">
          <cell r="AY24">
            <v>0</v>
          </cell>
        </row>
        <row r="25">
          <cell r="AY25">
            <v>92</v>
          </cell>
        </row>
        <row r="26">
          <cell r="AY26">
            <v>119</v>
          </cell>
        </row>
        <row r="35">
          <cell r="AY35">
            <v>0</v>
          </cell>
        </row>
        <row r="36">
          <cell r="AY36">
            <v>8</v>
          </cell>
        </row>
        <row r="37">
          <cell r="AY37">
            <v>1</v>
          </cell>
        </row>
        <row r="39">
          <cell r="AY39">
            <v>1</v>
          </cell>
        </row>
        <row r="40">
          <cell r="AY40">
            <v>2</v>
          </cell>
        </row>
        <row r="44">
          <cell r="AY44">
            <v>150</v>
          </cell>
        </row>
        <row r="45">
          <cell r="AY45">
            <v>30</v>
          </cell>
        </row>
        <row r="48">
          <cell r="AY48">
            <v>2</v>
          </cell>
        </row>
        <row r="49">
          <cell r="AY49">
            <v>5</v>
          </cell>
        </row>
        <row r="53">
          <cell r="AY53">
            <v>1</v>
          </cell>
        </row>
        <row r="54">
          <cell r="AY54">
            <v>55</v>
          </cell>
        </row>
        <row r="56">
          <cell r="AY56">
            <v>1</v>
          </cell>
        </row>
        <row r="58">
          <cell r="AY58">
            <v>1</v>
          </cell>
        </row>
        <row r="59">
          <cell r="AY59">
            <v>28</v>
          </cell>
        </row>
        <row r="60">
          <cell r="AY60">
            <v>26</v>
          </cell>
        </row>
        <row r="62">
          <cell r="AY62">
            <v>4411</v>
          </cell>
        </row>
        <row r="63">
          <cell r="AY63">
            <v>0</v>
          </cell>
        </row>
        <row r="66">
          <cell r="AY66">
            <v>21</v>
          </cell>
        </row>
        <row r="67">
          <cell r="AY67">
            <v>1024</v>
          </cell>
        </row>
        <row r="72">
          <cell r="AY72">
            <v>0</v>
          </cell>
        </row>
        <row r="74">
          <cell r="AY74">
            <v>4560</v>
          </cell>
        </row>
        <row r="81">
          <cell r="AY81">
            <v>19</v>
          </cell>
        </row>
        <row r="84">
          <cell r="AY84">
            <v>0</v>
          </cell>
        </row>
        <row r="85">
          <cell r="AY85">
            <v>2</v>
          </cell>
        </row>
        <row r="86">
          <cell r="AY86">
            <v>0</v>
          </cell>
        </row>
        <row r="87">
          <cell r="AY87">
            <v>36</v>
          </cell>
        </row>
        <row r="88">
          <cell r="AY88">
            <v>6730</v>
          </cell>
        </row>
        <row r="91">
          <cell r="AY91">
            <v>2</v>
          </cell>
        </row>
        <row r="93">
          <cell r="AY93">
            <v>23</v>
          </cell>
        </row>
        <row r="94">
          <cell r="AY94">
            <v>327</v>
          </cell>
        </row>
        <row r="97">
          <cell r="AY97">
            <v>0</v>
          </cell>
        </row>
        <row r="98">
          <cell r="AY98">
            <v>0</v>
          </cell>
        </row>
        <row r="99">
          <cell r="AY99">
            <v>0</v>
          </cell>
        </row>
        <row r="100">
          <cell r="AY100">
            <v>0</v>
          </cell>
        </row>
        <row r="101">
          <cell r="AY101">
            <v>0</v>
          </cell>
        </row>
        <row r="103">
          <cell r="AY103">
            <v>0</v>
          </cell>
        </row>
        <row r="104">
          <cell r="AY104">
            <v>28</v>
          </cell>
        </row>
        <row r="105">
          <cell r="AY105">
            <v>0</v>
          </cell>
        </row>
        <row r="107">
          <cell r="AY107">
            <v>7</v>
          </cell>
        </row>
        <row r="108">
          <cell r="AY108">
            <v>131</v>
          </cell>
        </row>
        <row r="110">
          <cell r="AY110">
            <v>0</v>
          </cell>
        </row>
        <row r="111">
          <cell r="AY111">
            <v>308</v>
          </cell>
        </row>
        <row r="112">
          <cell r="AY112">
            <v>2</v>
          </cell>
        </row>
        <row r="113">
          <cell r="AY113">
            <v>1</v>
          </cell>
        </row>
        <row r="118">
          <cell r="AY118">
            <v>13</v>
          </cell>
        </row>
        <row r="122">
          <cell r="AY122">
            <v>532</v>
          </cell>
        </row>
        <row r="123">
          <cell r="AY123">
            <v>700</v>
          </cell>
        </row>
        <row r="124">
          <cell r="AY124">
            <v>36</v>
          </cell>
        </row>
        <row r="129">
          <cell r="AY129">
            <v>8</v>
          </cell>
        </row>
        <row r="130">
          <cell r="AY130">
            <v>11</v>
          </cell>
        </row>
        <row r="131">
          <cell r="AY131">
            <v>34</v>
          </cell>
        </row>
        <row r="133">
          <cell r="AY133">
            <v>0</v>
          </cell>
        </row>
        <row r="134">
          <cell r="AY134">
            <v>712</v>
          </cell>
        </row>
        <row r="135">
          <cell r="AY135">
            <v>2</v>
          </cell>
        </row>
        <row r="136">
          <cell r="AY136">
            <v>1</v>
          </cell>
        </row>
        <row r="138">
          <cell r="AY138">
            <v>0</v>
          </cell>
        </row>
        <row r="139">
          <cell r="AY139">
            <v>6</v>
          </cell>
        </row>
        <row r="146">
          <cell r="AY146">
            <v>0</v>
          </cell>
        </row>
        <row r="148">
          <cell r="AY148">
            <v>1650</v>
          </cell>
        </row>
        <row r="149">
          <cell r="AY149">
            <v>2484</v>
          </cell>
        </row>
        <row r="150">
          <cell r="AY150">
            <v>0</v>
          </cell>
        </row>
        <row r="155">
          <cell r="AY155">
            <v>0</v>
          </cell>
        </row>
        <row r="156">
          <cell r="AY156">
            <v>1</v>
          </cell>
        </row>
        <row r="157">
          <cell r="AY157">
            <v>41</v>
          </cell>
        </row>
        <row r="159">
          <cell r="AY159">
            <v>11</v>
          </cell>
        </row>
        <row r="174">
          <cell r="AY174">
            <v>170</v>
          </cell>
        </row>
        <row r="175">
          <cell r="AY175">
            <v>37</v>
          </cell>
        </row>
        <row r="181">
          <cell r="AY181">
            <v>0</v>
          </cell>
        </row>
        <row r="193">
          <cell r="AY193">
            <v>9</v>
          </cell>
        </row>
        <row r="194">
          <cell r="AY194">
            <v>4</v>
          </cell>
        </row>
        <row r="195">
          <cell r="AY195">
            <v>5</v>
          </cell>
        </row>
        <row r="196">
          <cell r="AY196">
            <v>18</v>
          </cell>
        </row>
        <row r="197">
          <cell r="AY197">
            <v>0</v>
          </cell>
        </row>
        <row r="202">
          <cell r="AY202">
            <v>4</v>
          </cell>
        </row>
        <row r="203">
          <cell r="AY203">
            <v>1</v>
          </cell>
        </row>
        <row r="204">
          <cell r="AY204">
            <v>32</v>
          </cell>
        </row>
        <row r="206">
          <cell r="AY206">
            <v>0</v>
          </cell>
        </row>
        <row r="207">
          <cell r="AY207">
            <v>0</v>
          </cell>
        </row>
        <row r="208">
          <cell r="AY208">
            <v>0</v>
          </cell>
        </row>
        <row r="209">
          <cell r="AY209">
            <v>0</v>
          </cell>
        </row>
        <row r="210">
          <cell r="AY210">
            <v>0</v>
          </cell>
        </row>
        <row r="211">
          <cell r="AY211">
            <v>8</v>
          </cell>
        </row>
        <row r="218">
          <cell r="AY218">
            <v>10</v>
          </cell>
        </row>
        <row r="222">
          <cell r="AY222">
            <v>0</v>
          </cell>
        </row>
        <row r="223">
          <cell r="AY223">
            <v>0</v>
          </cell>
        </row>
        <row r="224">
          <cell r="AY224">
            <v>0</v>
          </cell>
        </row>
        <row r="226">
          <cell r="AY226">
            <v>0</v>
          </cell>
        </row>
        <row r="228">
          <cell r="AY228">
            <v>2</v>
          </cell>
        </row>
        <row r="229">
          <cell r="AY229">
            <v>0</v>
          </cell>
        </row>
        <row r="230">
          <cell r="AY230">
            <v>0</v>
          </cell>
        </row>
        <row r="231">
          <cell r="AY231">
            <v>0</v>
          </cell>
        </row>
        <row r="232">
          <cell r="AY232">
            <v>0</v>
          </cell>
        </row>
        <row r="233">
          <cell r="AY233">
            <v>0</v>
          </cell>
        </row>
        <row r="234">
          <cell r="AY234">
            <v>0</v>
          </cell>
        </row>
        <row r="235">
          <cell r="AY235">
            <v>0</v>
          </cell>
        </row>
        <row r="274">
          <cell r="AY274">
            <v>1</v>
          </cell>
        </row>
        <row r="279">
          <cell r="AY279">
            <v>238</v>
          </cell>
        </row>
        <row r="280">
          <cell r="AY280">
            <v>0</v>
          </cell>
        </row>
        <row r="281">
          <cell r="AY281">
            <v>10</v>
          </cell>
        </row>
        <row r="283">
          <cell r="AY283">
            <v>8</v>
          </cell>
        </row>
        <row r="284">
          <cell r="AY284">
            <v>134</v>
          </cell>
        </row>
        <row r="286">
          <cell r="AY286">
            <v>0</v>
          </cell>
        </row>
        <row r="287">
          <cell r="AY287">
            <v>223</v>
          </cell>
        </row>
        <row r="289">
          <cell r="AY289">
            <v>195</v>
          </cell>
        </row>
        <row r="291">
          <cell r="AY291">
            <v>276</v>
          </cell>
        </row>
        <row r="293">
          <cell r="AY293">
            <v>33</v>
          </cell>
        </row>
        <row r="294">
          <cell r="AY294">
            <v>2</v>
          </cell>
        </row>
        <row r="296">
          <cell r="AY296">
            <v>31</v>
          </cell>
        </row>
        <row r="302">
          <cell r="AY302">
            <v>0</v>
          </cell>
        </row>
        <row r="303">
          <cell r="AY303">
            <v>0</v>
          </cell>
        </row>
        <row r="304">
          <cell r="AY304">
            <v>93</v>
          </cell>
        </row>
        <row r="305">
          <cell r="AY305">
            <v>10</v>
          </cell>
        </row>
        <row r="306">
          <cell r="AY306">
            <v>22</v>
          </cell>
        </row>
        <row r="309">
          <cell r="AY309">
            <v>149</v>
          </cell>
        </row>
        <row r="312">
          <cell r="AY312">
            <v>0</v>
          </cell>
        </row>
        <row r="313">
          <cell r="AY313">
            <v>275</v>
          </cell>
        </row>
        <row r="316">
          <cell r="AY316">
            <v>17300</v>
          </cell>
        </row>
        <row r="317">
          <cell r="AY317">
            <v>19710</v>
          </cell>
        </row>
        <row r="321">
          <cell r="AY321">
            <v>79</v>
          </cell>
        </row>
        <row r="324">
          <cell r="AY324">
            <v>19650</v>
          </cell>
        </row>
        <row r="327">
          <cell r="AY327">
            <v>125</v>
          </cell>
        </row>
        <row r="328">
          <cell r="AY328">
            <v>262</v>
          </cell>
        </row>
        <row r="329">
          <cell r="AY329">
            <v>213</v>
          </cell>
        </row>
        <row r="331">
          <cell r="AY331">
            <v>172</v>
          </cell>
        </row>
        <row r="333">
          <cell r="AY333">
            <v>24</v>
          </cell>
        </row>
        <row r="339">
          <cell r="AY339">
            <v>1793</v>
          </cell>
        </row>
        <row r="340">
          <cell r="AY340">
            <v>1346</v>
          </cell>
        </row>
        <row r="341">
          <cell r="AY341">
            <v>245</v>
          </cell>
        </row>
        <row r="352">
          <cell r="AY352">
            <v>93</v>
          </cell>
        </row>
        <row r="353">
          <cell r="AY353">
            <v>56</v>
          </cell>
        </row>
        <row r="354">
          <cell r="AY354">
            <v>467</v>
          </cell>
        </row>
        <row r="355">
          <cell r="AY355">
            <v>95</v>
          </cell>
        </row>
        <row r="359">
          <cell r="AY359">
            <v>194</v>
          </cell>
        </row>
        <row r="361">
          <cell r="AY361">
            <v>32</v>
          </cell>
        </row>
        <row r="365">
          <cell r="AY365">
            <v>1</v>
          </cell>
        </row>
        <row r="369">
          <cell r="AY369">
            <v>5</v>
          </cell>
        </row>
        <row r="371">
          <cell r="AY371">
            <v>94</v>
          </cell>
        </row>
        <row r="392">
          <cell r="AY392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2"/>
  <sheetViews>
    <sheetView tabSelected="1" topLeftCell="A16" workbookViewId="0">
      <selection activeCell="F203" sqref="F203"/>
    </sheetView>
  </sheetViews>
  <sheetFormatPr baseColWidth="10" defaultColWidth="11.42578125" defaultRowHeight="15" x14ac:dyDescent="0.25"/>
  <cols>
    <col min="3" max="3" width="44.7109375" customWidth="1"/>
    <col min="4" max="5" width="22" customWidth="1"/>
    <col min="6" max="6" width="22.5703125" customWidth="1"/>
    <col min="7" max="7" width="24.28515625" customWidth="1"/>
    <col min="8" max="8" width="26.28515625" customWidth="1"/>
    <col min="9" max="9" width="23.5703125" customWidth="1"/>
    <col min="10" max="10" width="21.5703125" customWidth="1"/>
    <col min="11" max="11" width="25.28515625" style="2" customWidth="1"/>
    <col min="12" max="12" width="17.140625" style="2" customWidth="1"/>
    <col min="13" max="13" width="18.5703125" style="2" customWidth="1"/>
    <col min="14" max="17" width="11.42578125" style="2"/>
  </cols>
  <sheetData>
    <row r="1" spans="1:13" x14ac:dyDescent="0.25">
      <c r="A1" s="1"/>
      <c r="B1" s="1"/>
      <c r="C1" s="69"/>
      <c r="D1" s="69"/>
      <c r="E1" s="69"/>
      <c r="F1" s="69"/>
      <c r="G1" s="69"/>
      <c r="H1" s="69"/>
      <c r="I1" s="69"/>
      <c r="J1" s="69"/>
    </row>
    <row r="2" spans="1:13" x14ac:dyDescent="0.25">
      <c r="A2" s="1"/>
      <c r="B2" s="1"/>
      <c r="C2" s="69"/>
      <c r="D2" s="69"/>
      <c r="E2" s="69"/>
      <c r="F2" s="69"/>
      <c r="G2" s="69"/>
      <c r="H2" s="69"/>
      <c r="I2" s="69"/>
      <c r="J2" s="69"/>
    </row>
    <row r="3" spans="1:13" x14ac:dyDescent="0.25">
      <c r="A3" s="1"/>
      <c r="B3" s="1"/>
      <c r="C3" s="69"/>
      <c r="D3" s="69"/>
      <c r="E3" s="69"/>
      <c r="F3" s="69"/>
      <c r="G3" s="69"/>
      <c r="H3" s="69"/>
      <c r="I3" s="69"/>
      <c r="J3" s="69"/>
    </row>
    <row r="4" spans="1:13" x14ac:dyDescent="0.25">
      <c r="A4" s="1"/>
      <c r="B4" s="1"/>
      <c r="C4" s="69"/>
      <c r="D4" s="69"/>
      <c r="E4" s="69"/>
      <c r="F4" s="69"/>
      <c r="G4" s="69"/>
      <c r="H4" s="69"/>
      <c r="I4" s="69"/>
      <c r="J4" s="69"/>
    </row>
    <row r="5" spans="1:13" x14ac:dyDescent="0.25">
      <c r="A5" s="1"/>
      <c r="B5" s="1"/>
      <c r="C5" s="69"/>
      <c r="D5" s="69"/>
      <c r="E5" s="69"/>
      <c r="F5" s="69"/>
      <c r="G5" s="69"/>
      <c r="H5" s="69"/>
      <c r="I5" s="69"/>
      <c r="J5" s="69"/>
    </row>
    <row r="6" spans="1:13" ht="24" x14ac:dyDescent="0.25">
      <c r="A6" s="1"/>
      <c r="B6" s="1"/>
      <c r="C6" s="70" t="s">
        <v>0</v>
      </c>
      <c r="D6" s="70"/>
      <c r="E6" s="70"/>
      <c r="F6" s="70"/>
      <c r="G6" s="70"/>
      <c r="H6" s="70"/>
      <c r="I6" s="70"/>
      <c r="J6" s="70"/>
    </row>
    <row r="7" spans="1:13" ht="16.5" customHeight="1" x14ac:dyDescent="0.25">
      <c r="A7" s="1"/>
      <c r="B7" s="1"/>
      <c r="C7" s="70" t="s">
        <v>1</v>
      </c>
      <c r="D7" s="70"/>
      <c r="E7" s="70"/>
      <c r="F7" s="70"/>
      <c r="G7" s="70"/>
      <c r="H7" s="70"/>
      <c r="I7" s="70"/>
      <c r="J7" s="70"/>
    </row>
    <row r="8" spans="1:13" ht="24" x14ac:dyDescent="0.25">
      <c r="A8" s="1"/>
      <c r="B8" s="1"/>
      <c r="C8" s="70" t="s">
        <v>2</v>
      </c>
      <c r="D8" s="70"/>
      <c r="E8" s="70"/>
      <c r="F8" s="70"/>
      <c r="G8" s="70"/>
      <c r="H8" s="70"/>
      <c r="I8" s="70"/>
      <c r="J8" s="70"/>
    </row>
    <row r="9" spans="1:13" ht="17.25" customHeight="1" x14ac:dyDescent="0.25">
      <c r="A9" s="1"/>
      <c r="B9" s="1"/>
      <c r="C9" s="71" t="s">
        <v>3</v>
      </c>
      <c r="D9" s="71"/>
      <c r="E9" s="71"/>
      <c r="F9" s="71"/>
      <c r="G9" s="71"/>
      <c r="H9" s="71"/>
      <c r="I9" s="71"/>
      <c r="J9" s="71"/>
    </row>
    <row r="10" spans="1:13" ht="24.75" thickBot="1" x14ac:dyDescent="0.3">
      <c r="A10" s="3"/>
      <c r="B10" s="3"/>
      <c r="C10" s="72"/>
      <c r="D10" s="72"/>
      <c r="E10" s="72"/>
      <c r="F10" s="72"/>
      <c r="G10" s="72"/>
      <c r="H10" s="72"/>
      <c r="I10" s="72"/>
      <c r="J10" s="72"/>
    </row>
    <row r="11" spans="1:13" s="8" customFormat="1" ht="39.75" customHeight="1" thickBot="1" x14ac:dyDescent="0.3">
      <c r="A11" s="4"/>
      <c r="B11" s="4"/>
      <c r="C11" s="5" t="s">
        <v>4</v>
      </c>
      <c r="D11" s="5" t="s">
        <v>5</v>
      </c>
      <c r="E11" s="5" t="s">
        <v>6</v>
      </c>
      <c r="F11" s="5" t="s">
        <v>7</v>
      </c>
      <c r="G11" s="5" t="s">
        <v>8</v>
      </c>
      <c r="H11" s="6" t="s">
        <v>9</v>
      </c>
      <c r="I11" s="6" t="s">
        <v>10</v>
      </c>
      <c r="J11" s="5" t="s">
        <v>11</v>
      </c>
      <c r="K11" s="7"/>
      <c r="L11" s="7"/>
      <c r="M11" s="7"/>
    </row>
    <row r="12" spans="1:13" s="19" customFormat="1" ht="18.95" customHeight="1" x14ac:dyDescent="0.25">
      <c r="A12" s="9"/>
      <c r="B12" s="9"/>
      <c r="C12" s="10" t="s">
        <v>12</v>
      </c>
      <c r="D12" s="11" t="s">
        <v>13</v>
      </c>
      <c r="E12" s="12">
        <f>'[1]INVENTARIO MENSUAL'!AY274</f>
        <v>1</v>
      </c>
      <c r="F12" s="13">
        <v>175</v>
      </c>
      <c r="G12" s="14">
        <f>E12*F12</f>
        <v>175</v>
      </c>
      <c r="H12" s="15">
        <v>42751</v>
      </c>
      <c r="I12" s="16">
        <v>43234</v>
      </c>
      <c r="J12" s="17" t="s">
        <v>14</v>
      </c>
      <c r="K12" s="18"/>
      <c r="L12" s="18"/>
      <c r="M12" s="18"/>
    </row>
    <row r="13" spans="1:13" s="19" customFormat="1" ht="18.95" customHeight="1" x14ac:dyDescent="0.25">
      <c r="A13" s="4"/>
      <c r="B13" s="4"/>
      <c r="C13" s="20" t="s">
        <v>15</v>
      </c>
      <c r="D13" s="21" t="s">
        <v>16</v>
      </c>
      <c r="E13" s="22">
        <f>'[1]INVENTARIO MENSUAL'!AY279</f>
        <v>238</v>
      </c>
      <c r="F13" s="13">
        <f>86.71*1.18</f>
        <v>102.31779999999999</v>
      </c>
      <c r="G13" s="14">
        <f>E13*F13</f>
        <v>24351.636399999999</v>
      </c>
      <c r="H13" s="15">
        <v>40507</v>
      </c>
      <c r="I13" s="16">
        <v>45036</v>
      </c>
      <c r="J13" s="17" t="s">
        <v>17</v>
      </c>
      <c r="K13" s="18"/>
      <c r="L13" s="18"/>
      <c r="M13" s="18"/>
    </row>
    <row r="14" spans="1:13" s="19" customFormat="1" ht="18.95" customHeight="1" x14ac:dyDescent="0.25">
      <c r="A14" s="4"/>
      <c r="B14" s="4"/>
      <c r="C14" s="10" t="s">
        <v>18</v>
      </c>
      <c r="D14" s="11" t="s">
        <v>16</v>
      </c>
      <c r="E14" s="12">
        <f>'[1]INVENTARIO MENSUAL'!AY21</f>
        <v>1</v>
      </c>
      <c r="F14" s="13">
        <v>40</v>
      </c>
      <c r="G14" s="14">
        <f>E14*F14</f>
        <v>40</v>
      </c>
      <c r="H14" s="15">
        <v>42899</v>
      </c>
      <c r="I14" s="16">
        <v>44126</v>
      </c>
      <c r="J14" s="17" t="s">
        <v>19</v>
      </c>
      <c r="K14" s="18"/>
      <c r="L14" s="18"/>
      <c r="M14" s="18"/>
    </row>
    <row r="15" spans="1:13" s="19" customFormat="1" ht="18.95" customHeight="1" x14ac:dyDescent="0.25">
      <c r="A15" s="4"/>
      <c r="B15" s="4"/>
      <c r="C15" s="10" t="s">
        <v>20</v>
      </c>
      <c r="D15" s="11" t="s">
        <v>16</v>
      </c>
      <c r="E15" s="12">
        <v>206</v>
      </c>
      <c r="F15" s="13">
        <v>242.1</v>
      </c>
      <c r="G15" s="14">
        <f>+E15*F15*1.18</f>
        <v>58849.667999999998</v>
      </c>
      <c r="H15" s="15">
        <v>44798</v>
      </c>
      <c r="I15" s="16">
        <v>44798</v>
      </c>
      <c r="J15" s="17" t="s">
        <v>21</v>
      </c>
      <c r="K15" s="18"/>
      <c r="L15" s="18"/>
      <c r="M15" s="18"/>
    </row>
    <row r="16" spans="1:13" s="19" customFormat="1" ht="18.95" customHeight="1" x14ac:dyDescent="0.25">
      <c r="A16" s="4"/>
      <c r="B16" s="4"/>
      <c r="C16" s="20" t="s">
        <v>22</v>
      </c>
      <c r="D16" s="21" t="s">
        <v>16</v>
      </c>
      <c r="E16" s="22">
        <f>'[1]INVENTARIO MENSUAL'!AY22</f>
        <v>54</v>
      </c>
      <c r="F16" s="13">
        <v>238.2</v>
      </c>
      <c r="G16" s="14">
        <f>F16*E16</f>
        <v>12862.8</v>
      </c>
      <c r="H16" s="15">
        <v>42748</v>
      </c>
      <c r="I16" s="16">
        <v>44326</v>
      </c>
      <c r="J16" s="17" t="s">
        <v>23</v>
      </c>
      <c r="K16" s="18"/>
      <c r="L16" s="18"/>
      <c r="M16" s="18"/>
    </row>
    <row r="17" spans="1:13" s="19" customFormat="1" ht="18.95" customHeight="1" x14ac:dyDescent="0.25">
      <c r="A17" s="4"/>
      <c r="B17" s="4"/>
      <c r="C17" s="20" t="s">
        <v>24</v>
      </c>
      <c r="D17" s="21" t="s">
        <v>16</v>
      </c>
      <c r="E17" s="22">
        <f>'[1]INVENTARIO MENSUAL'!AY23</f>
        <v>70</v>
      </c>
      <c r="F17" s="13">
        <v>250.35</v>
      </c>
      <c r="G17" s="14">
        <f>F17*E17</f>
        <v>17524.5</v>
      </c>
      <c r="H17" s="15">
        <v>42899</v>
      </c>
      <c r="I17" s="16">
        <v>44326</v>
      </c>
      <c r="J17" s="17" t="s">
        <v>25</v>
      </c>
      <c r="K17" s="18"/>
      <c r="L17" s="18"/>
      <c r="M17" s="18"/>
    </row>
    <row r="18" spans="1:13" s="19" customFormat="1" ht="18.95" customHeight="1" x14ac:dyDescent="0.25">
      <c r="A18" s="4"/>
      <c r="B18" s="4"/>
      <c r="C18" s="20" t="s">
        <v>26</v>
      </c>
      <c r="D18" s="21" t="s">
        <v>27</v>
      </c>
      <c r="E18" s="22">
        <f>'[1]INVENTARIO MENSUAL'!AY280</f>
        <v>0</v>
      </c>
      <c r="F18" s="13">
        <v>111.8</v>
      </c>
      <c r="G18" s="14">
        <f>E18*F18</f>
        <v>0</v>
      </c>
      <c r="H18" s="15">
        <v>43493</v>
      </c>
      <c r="I18" s="16">
        <v>44165</v>
      </c>
      <c r="J18" s="23" t="s">
        <v>28</v>
      </c>
      <c r="K18" s="18"/>
      <c r="L18" s="18"/>
      <c r="M18" s="18"/>
    </row>
    <row r="19" spans="1:13" s="19" customFormat="1" ht="18.95" customHeight="1" x14ac:dyDescent="0.25">
      <c r="A19" s="4"/>
      <c r="B19" s="4"/>
      <c r="C19" s="20" t="s">
        <v>29</v>
      </c>
      <c r="D19" s="21" t="s">
        <v>27</v>
      </c>
      <c r="E19" s="22">
        <f>'[1]INVENTARIO MENSUAL'!AY281</f>
        <v>10</v>
      </c>
      <c r="F19" s="13">
        <f>126.88*1.16</f>
        <v>147.18079999999998</v>
      </c>
      <c r="G19" s="14">
        <f>E19*F19</f>
        <v>1471.8079999999998</v>
      </c>
      <c r="H19" s="15">
        <v>42979</v>
      </c>
      <c r="I19" s="16">
        <v>44939</v>
      </c>
      <c r="J19" s="23" t="s">
        <v>30</v>
      </c>
      <c r="K19" s="18"/>
      <c r="L19" s="18"/>
      <c r="M19" s="18"/>
    </row>
    <row r="20" spans="1:13" s="19" customFormat="1" ht="18.95" customHeight="1" x14ac:dyDescent="0.25">
      <c r="A20" s="4"/>
      <c r="B20" s="4"/>
      <c r="C20" s="20" t="s">
        <v>31</v>
      </c>
      <c r="D20" s="21" t="s">
        <v>13</v>
      </c>
      <c r="E20" s="22">
        <f>+'[1]INVENTARIO MENSUAL'!AY371</f>
        <v>94</v>
      </c>
      <c r="F20" s="13">
        <v>384</v>
      </c>
      <c r="G20" s="14">
        <f>+E20*F20*1.18</f>
        <v>42593.279999999999</v>
      </c>
      <c r="H20" s="15"/>
      <c r="I20" s="16">
        <v>45021</v>
      </c>
      <c r="J20" s="23" t="s">
        <v>32</v>
      </c>
      <c r="K20" s="18"/>
      <c r="L20" s="18"/>
      <c r="M20" s="18"/>
    </row>
    <row r="21" spans="1:13" s="19" customFormat="1" ht="18.75" customHeight="1" x14ac:dyDescent="0.25">
      <c r="A21" s="4"/>
      <c r="B21" s="4"/>
      <c r="C21" s="20" t="s">
        <v>33</v>
      </c>
      <c r="D21" s="21" t="s">
        <v>34</v>
      </c>
      <c r="E21" s="21">
        <f>'[1]INVENTARIO MENSUAL'!AY24</f>
        <v>0</v>
      </c>
      <c r="F21" s="13">
        <f>22.03*1.18</f>
        <v>25.9954</v>
      </c>
      <c r="G21" s="14">
        <f>F21*E21</f>
        <v>0</v>
      </c>
      <c r="H21" s="15">
        <v>43073</v>
      </c>
      <c r="I21" s="16">
        <v>44963</v>
      </c>
      <c r="J21" s="17" t="s">
        <v>35</v>
      </c>
      <c r="K21" s="18"/>
      <c r="L21" s="18"/>
      <c r="M21" s="18"/>
    </row>
    <row r="22" spans="1:13" s="19" customFormat="1" ht="18.75" customHeight="1" x14ac:dyDescent="0.25">
      <c r="A22" s="4"/>
      <c r="B22" s="4"/>
      <c r="C22" s="20" t="s">
        <v>36</v>
      </c>
      <c r="D22" s="21" t="s">
        <v>16</v>
      </c>
      <c r="E22" s="21">
        <v>10</v>
      </c>
      <c r="F22" s="13">
        <v>6779.66</v>
      </c>
      <c r="G22" s="14">
        <f>+E22*F22*1.18</f>
        <v>79999.987999999998</v>
      </c>
      <c r="H22" s="15">
        <v>44875</v>
      </c>
      <c r="I22" s="16">
        <v>44875</v>
      </c>
      <c r="J22" s="17" t="s">
        <v>37</v>
      </c>
      <c r="K22" s="18"/>
      <c r="L22" s="18"/>
      <c r="M22" s="18"/>
    </row>
    <row r="23" spans="1:13" s="19" customFormat="1" ht="18.95" customHeight="1" x14ac:dyDescent="0.25">
      <c r="A23" s="4"/>
      <c r="B23" s="4"/>
      <c r="C23" s="10" t="s">
        <v>38</v>
      </c>
      <c r="D23" s="21" t="s">
        <v>16</v>
      </c>
      <c r="E23" s="12">
        <f>'[1]INVENTARIO MENSUAL'!AY25</f>
        <v>92</v>
      </c>
      <c r="F23" s="13">
        <f>199*1.18</f>
        <v>234.82</v>
      </c>
      <c r="G23" s="14">
        <f>F23*E23</f>
        <v>21603.439999999999</v>
      </c>
      <c r="H23" s="15">
        <v>38672</v>
      </c>
      <c r="I23" s="16">
        <v>44893</v>
      </c>
      <c r="J23" s="17" t="s">
        <v>39</v>
      </c>
      <c r="K23" s="18"/>
      <c r="L23" s="18"/>
      <c r="M23" s="18"/>
    </row>
    <row r="24" spans="1:13" s="19" customFormat="1" ht="18.95" customHeight="1" x14ac:dyDescent="0.25">
      <c r="A24" s="4"/>
      <c r="B24" s="4"/>
      <c r="C24" s="24" t="s">
        <v>40</v>
      </c>
      <c r="D24" s="25" t="s">
        <v>16</v>
      </c>
      <c r="E24" s="25">
        <v>0</v>
      </c>
      <c r="F24" s="13">
        <f>(74400/31)*1.18</f>
        <v>2832</v>
      </c>
      <c r="G24" s="14">
        <f>F24*E24</f>
        <v>0</v>
      </c>
      <c r="H24" s="15">
        <v>41670</v>
      </c>
      <c r="I24" s="16">
        <v>44732</v>
      </c>
      <c r="J24" s="23" t="s">
        <v>41</v>
      </c>
      <c r="K24" s="18"/>
      <c r="L24" s="18"/>
      <c r="M24" s="18"/>
    </row>
    <row r="25" spans="1:13" s="19" customFormat="1" ht="18.95" customHeight="1" x14ac:dyDescent="0.25">
      <c r="A25" s="4"/>
      <c r="B25" s="4"/>
      <c r="C25" s="24" t="s">
        <v>42</v>
      </c>
      <c r="D25" s="25" t="s">
        <v>16</v>
      </c>
      <c r="E25" s="25">
        <v>0</v>
      </c>
      <c r="F25" s="13">
        <f>3200*1.18</f>
        <v>3776</v>
      </c>
      <c r="G25" s="14">
        <f>F25*E25</f>
        <v>0</v>
      </c>
      <c r="H25" s="15">
        <v>44132</v>
      </c>
      <c r="I25" s="16">
        <v>44742</v>
      </c>
      <c r="J25" s="23" t="s">
        <v>43</v>
      </c>
      <c r="K25" s="18"/>
      <c r="L25" s="18"/>
      <c r="M25" s="18"/>
    </row>
    <row r="26" spans="1:13" s="19" customFormat="1" ht="18.95" customHeight="1" x14ac:dyDescent="0.25">
      <c r="A26" s="4"/>
      <c r="B26" s="4"/>
      <c r="C26" s="24" t="s">
        <v>44</v>
      </c>
      <c r="D26" s="25" t="s">
        <v>16</v>
      </c>
      <c r="E26" s="25">
        <v>1</v>
      </c>
      <c r="F26" s="26">
        <f>450*1.18</f>
        <v>531</v>
      </c>
      <c r="G26" s="14">
        <f>E26*F26*1.18</f>
        <v>626.57999999999993</v>
      </c>
      <c r="H26" s="15">
        <v>42636</v>
      </c>
      <c r="I26" s="16">
        <v>44714</v>
      </c>
      <c r="J26" s="23" t="s">
        <v>45</v>
      </c>
      <c r="K26" s="18"/>
      <c r="L26" s="18"/>
      <c r="M26" s="18"/>
    </row>
    <row r="27" spans="1:13" s="19" customFormat="1" ht="18.95" customHeight="1" x14ac:dyDescent="0.25">
      <c r="A27" s="4"/>
      <c r="B27" s="4"/>
      <c r="C27" s="24" t="s">
        <v>46</v>
      </c>
      <c r="D27" s="25" t="s">
        <v>16</v>
      </c>
      <c r="E27" s="25">
        <v>2</v>
      </c>
      <c r="F27" s="13">
        <f>22000/10*1.18</f>
        <v>2596</v>
      </c>
      <c r="G27" s="14">
        <f>E27*F27*1.18</f>
        <v>6126.5599999999995</v>
      </c>
      <c r="H27" s="15">
        <v>41600</v>
      </c>
      <c r="I27" s="16">
        <v>44725</v>
      </c>
      <c r="J27" s="27" t="s">
        <v>47</v>
      </c>
      <c r="K27" s="28"/>
      <c r="L27" s="18"/>
      <c r="M27" s="18"/>
    </row>
    <row r="28" spans="1:13" s="19" customFormat="1" ht="18.95" customHeight="1" x14ac:dyDescent="0.25">
      <c r="A28" s="4"/>
      <c r="B28" s="4"/>
      <c r="C28" s="10" t="s">
        <v>48</v>
      </c>
      <c r="D28" s="11" t="s">
        <v>16</v>
      </c>
      <c r="E28" s="12">
        <f>'[1]INVENTARIO MENSUAL'!AY392</f>
        <v>1</v>
      </c>
      <c r="F28" s="13">
        <f>12000*1.18</f>
        <v>14160</v>
      </c>
      <c r="G28" s="14">
        <f>F28*E28</f>
        <v>14160</v>
      </c>
      <c r="H28" s="15">
        <v>43111</v>
      </c>
      <c r="I28" s="16">
        <v>44565</v>
      </c>
      <c r="J28" s="17" t="s">
        <v>49</v>
      </c>
      <c r="K28" s="18"/>
      <c r="L28" s="18"/>
      <c r="M28" s="18"/>
    </row>
    <row r="29" spans="1:13" s="19" customFormat="1" ht="18.95" customHeight="1" x14ac:dyDescent="0.25">
      <c r="A29" s="4"/>
      <c r="B29" s="4"/>
      <c r="C29" s="10" t="s">
        <v>50</v>
      </c>
      <c r="D29" s="11" t="s">
        <v>51</v>
      </c>
      <c r="E29" s="12">
        <f>'[1]INVENTARIO MENSUAL'!AY284</f>
        <v>134</v>
      </c>
      <c r="F29" s="13">
        <v>134.4</v>
      </c>
      <c r="G29" s="14">
        <f>E29*F29</f>
        <v>18009.600000000002</v>
      </c>
      <c r="H29" s="15">
        <v>44602</v>
      </c>
      <c r="I29" s="16">
        <v>45104</v>
      </c>
      <c r="J29" s="17" t="s">
        <v>52</v>
      </c>
      <c r="K29" s="18"/>
      <c r="L29" s="18"/>
      <c r="M29" s="18"/>
    </row>
    <row r="30" spans="1:13" s="19" customFormat="1" ht="18.95" customHeight="1" x14ac:dyDescent="0.25">
      <c r="A30" s="4"/>
      <c r="B30" s="4"/>
      <c r="C30" s="10" t="s">
        <v>53</v>
      </c>
      <c r="D30" s="11" t="s">
        <v>16</v>
      </c>
      <c r="E30" s="12">
        <f>'[1]INVENTARIO MENSUAL'!AY283</f>
        <v>8</v>
      </c>
      <c r="F30" s="13">
        <v>94.4</v>
      </c>
      <c r="G30" s="14">
        <f>F30*E30</f>
        <v>755.2</v>
      </c>
      <c r="H30" s="15">
        <v>41703</v>
      </c>
      <c r="I30" s="16">
        <v>41703</v>
      </c>
      <c r="J30" s="17" t="s">
        <v>54</v>
      </c>
      <c r="K30" s="18"/>
      <c r="L30" s="18"/>
      <c r="M30" s="18"/>
    </row>
    <row r="31" spans="1:13" s="19" customFormat="1" ht="18.95" customHeight="1" x14ac:dyDescent="0.25">
      <c r="A31" s="4"/>
      <c r="B31" s="4"/>
      <c r="C31" s="20" t="s">
        <v>55</v>
      </c>
      <c r="D31" s="21" t="s">
        <v>16</v>
      </c>
      <c r="E31" s="22">
        <f>'[1]INVENTARIO MENSUAL'!AY26</f>
        <v>119</v>
      </c>
      <c r="F31" s="13">
        <v>33.25</v>
      </c>
      <c r="G31" s="14">
        <f>E31*F31*1.18</f>
        <v>4668.9650000000001</v>
      </c>
      <c r="H31" s="15">
        <v>42284</v>
      </c>
      <c r="I31" s="16">
        <v>44953</v>
      </c>
      <c r="J31" s="17" t="s">
        <v>56</v>
      </c>
      <c r="K31" s="18"/>
      <c r="L31" s="18"/>
      <c r="M31" s="18"/>
    </row>
    <row r="32" spans="1:13" s="19" customFormat="1" ht="18.95" customHeight="1" x14ac:dyDescent="0.25">
      <c r="A32" s="4"/>
      <c r="B32" s="4"/>
      <c r="C32" s="10" t="s">
        <v>57</v>
      </c>
      <c r="D32" s="11" t="s">
        <v>16</v>
      </c>
      <c r="E32" s="12">
        <f>'[1]INVENTARIO MENSUAL'!AY286</f>
        <v>0</v>
      </c>
      <c r="F32" s="13">
        <v>73.09</v>
      </c>
      <c r="G32" s="14">
        <f>E32*F32</f>
        <v>0</v>
      </c>
      <c r="H32" s="15">
        <v>38672</v>
      </c>
      <c r="I32" s="16">
        <v>44209</v>
      </c>
      <c r="J32" s="17" t="s">
        <v>58</v>
      </c>
      <c r="K32" s="18"/>
      <c r="L32" s="18"/>
      <c r="M32" s="18"/>
    </row>
    <row r="33" spans="1:13" s="19" customFormat="1" ht="18.95" customHeight="1" x14ac:dyDescent="0.25">
      <c r="A33" s="4"/>
      <c r="B33" s="4"/>
      <c r="C33" s="20" t="s">
        <v>59</v>
      </c>
      <c r="D33" s="21" t="s">
        <v>16</v>
      </c>
      <c r="E33" s="22">
        <f>'[1]INVENTARIO MENSUAL'!AY287</f>
        <v>223</v>
      </c>
      <c r="F33" s="13">
        <v>151.13999999999999</v>
      </c>
      <c r="G33" s="14">
        <f>E33*F33*1.18</f>
        <v>39770.979599999991</v>
      </c>
      <c r="H33" s="15">
        <v>38672</v>
      </c>
      <c r="I33" s="16">
        <v>45084</v>
      </c>
      <c r="J33" s="17" t="s">
        <v>60</v>
      </c>
      <c r="K33" s="18"/>
      <c r="L33" s="18"/>
      <c r="M33" s="18"/>
    </row>
    <row r="34" spans="1:13" s="19" customFormat="1" ht="18.95" customHeight="1" x14ac:dyDescent="0.25">
      <c r="A34" s="4"/>
      <c r="B34" s="4"/>
      <c r="C34" s="20" t="s">
        <v>61</v>
      </c>
      <c r="D34" s="21" t="s">
        <v>16</v>
      </c>
      <c r="E34" s="22">
        <f>'[1]INVENTARIO MENSUAL'!AY289</f>
        <v>195</v>
      </c>
      <c r="F34" s="13">
        <f>13.76*1.18</f>
        <v>16.236799999999999</v>
      </c>
      <c r="G34" s="14">
        <f>F34*E34</f>
        <v>3166.1759999999999</v>
      </c>
      <c r="H34" s="15">
        <v>38672</v>
      </c>
      <c r="I34" s="16">
        <v>45084</v>
      </c>
      <c r="J34" s="17" t="s">
        <v>62</v>
      </c>
      <c r="K34" s="18"/>
      <c r="L34" s="18"/>
      <c r="M34" s="18"/>
    </row>
    <row r="35" spans="1:13" s="19" customFormat="1" ht="18.95" customHeight="1" x14ac:dyDescent="0.25">
      <c r="A35" s="4"/>
      <c r="B35" s="4"/>
      <c r="C35" s="20" t="s">
        <v>63</v>
      </c>
      <c r="D35" s="21" t="s">
        <v>16</v>
      </c>
      <c r="E35" s="22">
        <v>275</v>
      </c>
      <c r="F35" s="13">
        <v>63</v>
      </c>
      <c r="G35" s="14">
        <f>+E35*F35*1.18</f>
        <v>20443.5</v>
      </c>
      <c r="H35" s="15">
        <v>45014</v>
      </c>
      <c r="I35" s="16">
        <v>45014</v>
      </c>
      <c r="J35" s="17" t="s">
        <v>64</v>
      </c>
      <c r="K35" s="18"/>
      <c r="L35" s="18"/>
      <c r="M35" s="18"/>
    </row>
    <row r="36" spans="1:13" s="19" customFormat="1" ht="18.95" customHeight="1" x14ac:dyDescent="0.25">
      <c r="A36" s="4"/>
      <c r="B36" s="4"/>
      <c r="C36" s="20" t="s">
        <v>65</v>
      </c>
      <c r="D36" s="21" t="s">
        <v>16</v>
      </c>
      <c r="E36" s="22">
        <f>725+500</f>
        <v>1225</v>
      </c>
      <c r="F36" s="13">
        <v>95</v>
      </c>
      <c r="G36" s="14">
        <f>+E36*F36*1.18</f>
        <v>137322.5</v>
      </c>
      <c r="H36" s="15">
        <v>44798</v>
      </c>
      <c r="I36" s="16">
        <v>45014</v>
      </c>
      <c r="J36" s="17" t="s">
        <v>66</v>
      </c>
      <c r="K36" s="18"/>
      <c r="L36" s="18"/>
      <c r="M36" s="18"/>
    </row>
    <row r="37" spans="1:13" s="19" customFormat="1" ht="18.95" customHeight="1" x14ac:dyDescent="0.25">
      <c r="A37" s="4"/>
      <c r="B37" s="4"/>
      <c r="C37" s="20" t="s">
        <v>67</v>
      </c>
      <c r="D37" s="21" t="s">
        <v>16</v>
      </c>
      <c r="E37" s="22">
        <v>9</v>
      </c>
      <c r="F37" s="13">
        <v>2537.08</v>
      </c>
      <c r="G37" s="14">
        <f>+E37*F37*1.18</f>
        <v>26943.7896</v>
      </c>
      <c r="H37" s="15">
        <v>44825</v>
      </c>
      <c r="I37" s="16">
        <v>44825</v>
      </c>
      <c r="J37" s="23" t="s">
        <v>68</v>
      </c>
      <c r="K37" s="18"/>
      <c r="L37" s="18"/>
      <c r="M37" s="18"/>
    </row>
    <row r="38" spans="1:13" s="19" customFormat="1" ht="18.95" customHeight="1" x14ac:dyDescent="0.25">
      <c r="A38" s="4"/>
      <c r="B38" s="4"/>
      <c r="C38" s="20" t="s">
        <v>69</v>
      </c>
      <c r="D38" s="21" t="s">
        <v>27</v>
      </c>
      <c r="E38" s="22">
        <f>'[1]INVENTARIO MENSUAL'!AY291</f>
        <v>276</v>
      </c>
      <c r="F38" s="13">
        <v>227</v>
      </c>
      <c r="G38" s="14">
        <f>E38*F38*1.16</f>
        <v>72676.319999999992</v>
      </c>
      <c r="H38" s="15">
        <v>39507</v>
      </c>
      <c r="I38" s="16">
        <v>45050</v>
      </c>
      <c r="J38" s="23" t="s">
        <v>70</v>
      </c>
      <c r="K38" s="18"/>
      <c r="L38" s="18"/>
      <c r="M38" s="18"/>
    </row>
    <row r="39" spans="1:13" s="19" customFormat="1" ht="18.95" customHeight="1" x14ac:dyDescent="0.25">
      <c r="A39" s="4"/>
      <c r="B39" s="4"/>
      <c r="C39" s="20" t="s">
        <v>71</v>
      </c>
      <c r="D39" s="21" t="s">
        <v>16</v>
      </c>
      <c r="E39" s="22">
        <f>'[1]INVENTARIO MENSUAL'!AY36</f>
        <v>8</v>
      </c>
      <c r="F39" s="13">
        <f>115*1.18</f>
        <v>135.69999999999999</v>
      </c>
      <c r="G39" s="14">
        <f>F39*E39</f>
        <v>1085.5999999999999</v>
      </c>
      <c r="H39" s="15">
        <v>42978</v>
      </c>
      <c r="I39" s="16">
        <v>44931</v>
      </c>
      <c r="J39" s="17" t="s">
        <v>72</v>
      </c>
      <c r="K39" s="18"/>
      <c r="L39" s="18"/>
      <c r="M39" s="18"/>
    </row>
    <row r="40" spans="1:13" s="19" customFormat="1" ht="18.95" customHeight="1" x14ac:dyDescent="0.25">
      <c r="A40" s="4"/>
      <c r="B40" s="4"/>
      <c r="C40" s="20" t="s">
        <v>73</v>
      </c>
      <c r="D40" s="21" t="s">
        <v>16</v>
      </c>
      <c r="E40" s="22">
        <f>'[1]INVENTARIO MENSUAL'!AY45</f>
        <v>30</v>
      </c>
      <c r="F40" s="13">
        <f>110*1.18</f>
        <v>129.79999999999998</v>
      </c>
      <c r="G40" s="14">
        <f>F40*E40</f>
        <v>3893.9999999999995</v>
      </c>
      <c r="H40" s="15">
        <v>38488</v>
      </c>
      <c r="I40" s="16">
        <v>44931</v>
      </c>
      <c r="J40" s="23" t="s">
        <v>74</v>
      </c>
      <c r="K40" s="18"/>
      <c r="L40" s="18"/>
      <c r="M40" s="18"/>
    </row>
    <row r="41" spans="1:13" s="19" customFormat="1" ht="18.75" customHeight="1" x14ac:dyDescent="0.25">
      <c r="A41" s="4"/>
      <c r="B41" s="4"/>
      <c r="C41" s="20" t="s">
        <v>75</v>
      </c>
      <c r="D41" s="21" t="s">
        <v>16</v>
      </c>
      <c r="E41" s="22">
        <f>'[1]INVENTARIO MENSUAL'!AY35</f>
        <v>0</v>
      </c>
      <c r="F41" s="13">
        <f>156*1.18</f>
        <v>184.07999999999998</v>
      </c>
      <c r="G41" s="14">
        <f>E41*F41</f>
        <v>0</v>
      </c>
      <c r="H41" s="15">
        <v>43056</v>
      </c>
      <c r="I41" s="16">
        <v>44888</v>
      </c>
      <c r="J41" s="17" t="s">
        <v>76</v>
      </c>
      <c r="K41" s="18"/>
      <c r="L41" s="18"/>
      <c r="M41" s="18"/>
    </row>
    <row r="42" spans="1:13" s="19" customFormat="1" ht="18.95" customHeight="1" x14ac:dyDescent="0.25">
      <c r="A42" s="4"/>
      <c r="B42" s="4"/>
      <c r="C42" s="20" t="s">
        <v>77</v>
      </c>
      <c r="D42" s="21" t="s">
        <v>16</v>
      </c>
      <c r="E42" s="22">
        <f>'[1]INVENTARIO MENSUAL'!AY37</f>
        <v>1</v>
      </c>
      <c r="F42" s="13">
        <f>134*1.18</f>
        <v>158.12</v>
      </c>
      <c r="G42" s="14">
        <f>F42*E42</f>
        <v>158.12</v>
      </c>
      <c r="H42" s="15">
        <v>38672</v>
      </c>
      <c r="I42" s="16">
        <v>44931</v>
      </c>
      <c r="J42" s="17" t="s">
        <v>78</v>
      </c>
      <c r="K42" s="18"/>
      <c r="L42" s="18"/>
      <c r="M42" s="18"/>
    </row>
    <row r="43" spans="1:13" s="19" customFormat="1" ht="18.95" customHeight="1" x14ac:dyDescent="0.25">
      <c r="A43" s="4"/>
      <c r="B43" s="4"/>
      <c r="C43" s="20" t="s">
        <v>79</v>
      </c>
      <c r="D43" s="21" t="s">
        <v>16</v>
      </c>
      <c r="E43" s="22">
        <f>'[1]INVENTARIO MENSUAL'!AY39</f>
        <v>1</v>
      </c>
      <c r="F43" s="13">
        <v>260.77999999999997</v>
      </c>
      <c r="G43" s="14">
        <f>F43*E43</f>
        <v>260.77999999999997</v>
      </c>
      <c r="H43" s="15">
        <v>43056</v>
      </c>
      <c r="I43" s="16">
        <v>44959</v>
      </c>
      <c r="J43" s="17" t="s">
        <v>80</v>
      </c>
      <c r="K43" s="18"/>
      <c r="L43" s="18"/>
      <c r="M43" s="18"/>
    </row>
    <row r="44" spans="1:13" s="19" customFormat="1" ht="18.95" customHeight="1" x14ac:dyDescent="0.25">
      <c r="A44" s="4"/>
      <c r="B44" s="4"/>
      <c r="C44" s="20" t="s">
        <v>81</v>
      </c>
      <c r="D44" s="21" t="s">
        <v>16</v>
      </c>
      <c r="E44" s="22">
        <f>'[1]INVENTARIO MENSUAL'!AY40</f>
        <v>2</v>
      </c>
      <c r="F44" s="13">
        <f>297*1.18</f>
        <v>350.46</v>
      </c>
      <c r="G44" s="14">
        <f>F44*E44</f>
        <v>700.92</v>
      </c>
      <c r="H44" s="15">
        <v>41441</v>
      </c>
      <c r="I44" s="16">
        <v>44893</v>
      </c>
      <c r="J44" s="17" t="s">
        <v>82</v>
      </c>
      <c r="K44" s="18"/>
      <c r="L44" s="18"/>
      <c r="M44" s="18"/>
    </row>
    <row r="45" spans="1:13" s="19" customFormat="1" ht="18.95" customHeight="1" x14ac:dyDescent="0.25">
      <c r="A45" s="4"/>
      <c r="B45" s="4"/>
      <c r="C45" s="10" t="s">
        <v>83</v>
      </c>
      <c r="D45" s="11" t="s">
        <v>16</v>
      </c>
      <c r="E45" s="12">
        <f>'[1]INVENTARIO MENSUAL'!AY174</f>
        <v>170</v>
      </c>
      <c r="F45" s="13">
        <v>7.3</v>
      </c>
      <c r="G45" s="14">
        <f>E45*F45</f>
        <v>1241</v>
      </c>
      <c r="H45" s="15">
        <v>42979</v>
      </c>
      <c r="I45" s="16">
        <v>43391</v>
      </c>
      <c r="J45" s="17" t="s">
        <v>84</v>
      </c>
      <c r="K45" s="18"/>
      <c r="L45" s="18"/>
      <c r="M45" s="18"/>
    </row>
    <row r="46" spans="1:13" s="19" customFormat="1" ht="18.95" customHeight="1" x14ac:dyDescent="0.25">
      <c r="A46" s="4"/>
      <c r="B46" s="4"/>
      <c r="C46" s="10" t="s">
        <v>85</v>
      </c>
      <c r="D46" s="11" t="s">
        <v>16</v>
      </c>
      <c r="E46" s="12">
        <v>0</v>
      </c>
      <c r="F46" s="13">
        <v>147.1</v>
      </c>
      <c r="G46" s="14">
        <f>F46*E46*1.18</f>
        <v>0</v>
      </c>
      <c r="H46" s="15">
        <v>42380</v>
      </c>
      <c r="I46" s="16">
        <v>44873</v>
      </c>
      <c r="J46" s="17" t="s">
        <v>86</v>
      </c>
      <c r="K46" s="18"/>
      <c r="L46" s="18"/>
      <c r="M46" s="18"/>
    </row>
    <row r="47" spans="1:13" s="19" customFormat="1" ht="18.95" customHeight="1" x14ac:dyDescent="0.25">
      <c r="A47" s="4"/>
      <c r="B47" s="4"/>
      <c r="C47" s="20" t="s">
        <v>87</v>
      </c>
      <c r="D47" s="21" t="s">
        <v>16</v>
      </c>
      <c r="E47" s="22">
        <f>'[1]INVENTARIO MENSUAL'!AY44</f>
        <v>150</v>
      </c>
      <c r="F47" s="13">
        <f>30.5*1.18</f>
        <v>35.989999999999995</v>
      </c>
      <c r="G47" s="14">
        <f t="shared" ref="G47:G60" si="0">F47*E47</f>
        <v>5398.4999999999991</v>
      </c>
      <c r="H47" s="15">
        <v>42158</v>
      </c>
      <c r="I47" s="16">
        <v>44893</v>
      </c>
      <c r="J47" s="17" t="s">
        <v>88</v>
      </c>
      <c r="K47" s="18"/>
      <c r="L47" s="18"/>
      <c r="M47" s="18"/>
    </row>
    <row r="48" spans="1:13" s="19" customFormat="1" ht="18.95" customHeight="1" x14ac:dyDescent="0.25">
      <c r="A48" s="4"/>
      <c r="B48" s="4"/>
      <c r="C48" s="20" t="s">
        <v>89</v>
      </c>
      <c r="D48" s="21" t="s">
        <v>16</v>
      </c>
      <c r="E48" s="22">
        <v>8847</v>
      </c>
      <c r="F48" s="13">
        <v>0.32</v>
      </c>
      <c r="G48" s="14">
        <f t="shared" si="0"/>
        <v>2831.04</v>
      </c>
      <c r="H48" s="15">
        <v>42899</v>
      </c>
      <c r="I48" s="16">
        <v>44323</v>
      </c>
      <c r="J48" s="17" t="s">
        <v>90</v>
      </c>
      <c r="K48" s="18"/>
      <c r="L48" s="18"/>
      <c r="M48" s="18"/>
    </row>
    <row r="49" spans="1:13" s="19" customFormat="1" ht="18.95" customHeight="1" x14ac:dyDescent="0.25">
      <c r="A49" s="4"/>
      <c r="B49" s="4"/>
      <c r="C49" s="20" t="s">
        <v>91</v>
      </c>
      <c r="D49" s="21" t="s">
        <v>16</v>
      </c>
      <c r="E49" s="22">
        <f>'[1]INVENTARIO MENSUAL'!AY48</f>
        <v>2</v>
      </c>
      <c r="F49" s="13">
        <f>56*1.18</f>
        <v>66.08</v>
      </c>
      <c r="G49" s="14">
        <f t="shared" si="0"/>
        <v>132.16</v>
      </c>
      <c r="H49" s="15">
        <v>43056</v>
      </c>
      <c r="I49" s="16">
        <v>44888</v>
      </c>
      <c r="J49" s="17" t="s">
        <v>92</v>
      </c>
      <c r="K49" s="18"/>
      <c r="L49" s="18"/>
      <c r="M49" s="18"/>
    </row>
    <row r="50" spans="1:13" s="19" customFormat="1" ht="18.95" customHeight="1" x14ac:dyDescent="0.25">
      <c r="A50" s="4"/>
      <c r="B50" s="4"/>
      <c r="C50" s="20" t="s">
        <v>93</v>
      </c>
      <c r="D50" s="21" t="s">
        <v>16</v>
      </c>
      <c r="E50" s="22">
        <f>'[1]INVENTARIO MENSUAL'!AY49</f>
        <v>5</v>
      </c>
      <c r="F50" s="13">
        <f>21.2*1.18</f>
        <v>25.015999999999998</v>
      </c>
      <c r="G50" s="14">
        <f t="shared" si="0"/>
        <v>125.07999999999998</v>
      </c>
      <c r="H50" s="15">
        <v>43056</v>
      </c>
      <c r="I50" s="16">
        <v>44953</v>
      </c>
      <c r="J50" s="17" t="s">
        <v>94</v>
      </c>
      <c r="K50" s="18"/>
      <c r="L50" s="18"/>
      <c r="M50" s="18"/>
    </row>
    <row r="51" spans="1:13" s="19" customFormat="1" ht="18.95" customHeight="1" x14ac:dyDescent="0.25">
      <c r="A51" s="4"/>
      <c r="B51" s="4"/>
      <c r="C51" s="20" t="s">
        <v>95</v>
      </c>
      <c r="D51" s="21" t="s">
        <v>16</v>
      </c>
      <c r="E51" s="22">
        <f>'[1]INVENTARIO MENSUAL'!AY53</f>
        <v>1</v>
      </c>
      <c r="F51" s="13">
        <f>11.15*1.18</f>
        <v>13.157</v>
      </c>
      <c r="G51" s="14">
        <f>E51*F51</f>
        <v>13.157</v>
      </c>
      <c r="H51" s="15">
        <v>44658</v>
      </c>
      <c r="I51" s="16">
        <v>44953</v>
      </c>
      <c r="J51" s="17" t="s">
        <v>96</v>
      </c>
      <c r="K51" s="18"/>
      <c r="L51" s="18"/>
      <c r="M51" s="18"/>
    </row>
    <row r="52" spans="1:13" s="19" customFormat="1" ht="18.95" customHeight="1" x14ac:dyDescent="0.25">
      <c r="A52" s="4"/>
      <c r="B52" s="4"/>
      <c r="C52" s="20" t="s">
        <v>97</v>
      </c>
      <c r="D52" s="21" t="s">
        <v>16</v>
      </c>
      <c r="E52" s="22">
        <f>+'[1]INVENTARIO MENSUAL'!AY54</f>
        <v>55</v>
      </c>
      <c r="F52" s="13">
        <f>3.1*1.18</f>
        <v>3.6579999999999999</v>
      </c>
      <c r="G52" s="14">
        <f>+E52*F52</f>
        <v>201.19</v>
      </c>
      <c r="H52" s="15">
        <v>44953</v>
      </c>
      <c r="I52" s="16">
        <v>44953</v>
      </c>
      <c r="J52" s="17" t="s">
        <v>98</v>
      </c>
      <c r="K52" s="18"/>
      <c r="L52" s="18"/>
      <c r="M52" s="18"/>
    </row>
    <row r="53" spans="1:13" s="19" customFormat="1" ht="18.95" customHeight="1" x14ac:dyDescent="0.25">
      <c r="A53" s="4"/>
      <c r="B53" s="4"/>
      <c r="C53" s="20" t="s">
        <v>99</v>
      </c>
      <c r="D53" s="21" t="s">
        <v>16</v>
      </c>
      <c r="E53" s="22">
        <v>6</v>
      </c>
      <c r="F53" s="13">
        <f>12.9*1.18</f>
        <v>15.222</v>
      </c>
      <c r="G53" s="14">
        <f t="shared" si="0"/>
        <v>91.331999999999994</v>
      </c>
      <c r="H53" s="15">
        <v>42832</v>
      </c>
      <c r="I53" s="16">
        <v>44931</v>
      </c>
      <c r="J53" s="17" t="s">
        <v>100</v>
      </c>
      <c r="K53" s="18"/>
      <c r="L53" s="18"/>
      <c r="M53" s="18"/>
    </row>
    <row r="54" spans="1:13" s="19" customFormat="1" ht="18.95" customHeight="1" x14ac:dyDescent="0.25">
      <c r="A54" s="4"/>
      <c r="B54" s="4"/>
      <c r="C54" s="20" t="s">
        <v>101</v>
      </c>
      <c r="D54" s="21" t="s">
        <v>16</v>
      </c>
      <c r="E54" s="22">
        <f>'[1]INVENTARIO MENSUAL'!AY56</f>
        <v>1</v>
      </c>
      <c r="F54" s="13">
        <f>35.9*1.18</f>
        <v>42.361999999999995</v>
      </c>
      <c r="G54" s="14">
        <f t="shared" si="0"/>
        <v>42.361999999999995</v>
      </c>
      <c r="H54" s="15">
        <v>42978</v>
      </c>
      <c r="I54" s="16">
        <v>44931</v>
      </c>
      <c r="J54" s="17" t="s">
        <v>102</v>
      </c>
      <c r="K54" s="18"/>
      <c r="L54" s="18"/>
      <c r="M54" s="18"/>
    </row>
    <row r="55" spans="1:13" s="19" customFormat="1" ht="18.95" customHeight="1" x14ac:dyDescent="0.25">
      <c r="A55" s="4"/>
      <c r="B55" s="4"/>
      <c r="C55" s="20" t="s">
        <v>103</v>
      </c>
      <c r="D55" s="21" t="s">
        <v>13</v>
      </c>
      <c r="E55" s="22">
        <v>15</v>
      </c>
      <c r="F55" s="13">
        <v>2170</v>
      </c>
      <c r="G55" s="14">
        <f>+E55*F55*1.18</f>
        <v>38409</v>
      </c>
      <c r="H55" s="15">
        <v>44837</v>
      </c>
      <c r="I55" s="16">
        <v>44837</v>
      </c>
      <c r="J55" s="17" t="s">
        <v>104</v>
      </c>
      <c r="K55" s="18"/>
      <c r="L55" s="18"/>
      <c r="M55" s="18"/>
    </row>
    <row r="56" spans="1:13" s="19" customFormat="1" ht="18.95" customHeight="1" x14ac:dyDescent="0.25">
      <c r="A56" s="4"/>
      <c r="B56" s="4"/>
      <c r="C56" s="20" t="s">
        <v>105</v>
      </c>
      <c r="D56" s="21" t="s">
        <v>16</v>
      </c>
      <c r="E56" s="22">
        <f>'[1]INVENTARIO MENSUAL'!AY293</f>
        <v>33</v>
      </c>
      <c r="F56" s="13">
        <f>131.3*1.18</f>
        <v>154.934</v>
      </c>
      <c r="G56" s="14">
        <f t="shared" si="0"/>
        <v>5112.8220000000001</v>
      </c>
      <c r="H56" s="15">
        <v>42991</v>
      </c>
      <c r="I56" s="16">
        <v>45034</v>
      </c>
      <c r="J56" s="17" t="s">
        <v>106</v>
      </c>
      <c r="K56" s="18"/>
      <c r="L56" s="18"/>
      <c r="M56" s="18"/>
    </row>
    <row r="57" spans="1:13" s="19" customFormat="1" ht="18.95" customHeight="1" x14ac:dyDescent="0.25">
      <c r="A57" s="4"/>
      <c r="B57" s="4"/>
      <c r="C57" s="10" t="s">
        <v>107</v>
      </c>
      <c r="D57" s="11" t="s">
        <v>16</v>
      </c>
      <c r="E57" s="22">
        <f>'[1]INVENTARIO MENSUAL'!AY294</f>
        <v>2</v>
      </c>
      <c r="F57" s="13">
        <v>82</v>
      </c>
      <c r="G57" s="14">
        <f t="shared" si="0"/>
        <v>164</v>
      </c>
      <c r="H57" s="15">
        <v>42844</v>
      </c>
      <c r="I57" s="16">
        <v>42844</v>
      </c>
      <c r="J57" s="17" t="s">
        <v>106</v>
      </c>
      <c r="K57" s="18"/>
      <c r="L57" s="18"/>
      <c r="M57" s="18"/>
    </row>
    <row r="58" spans="1:13" s="19" customFormat="1" ht="18.95" customHeight="1" x14ac:dyDescent="0.25">
      <c r="A58" s="4"/>
      <c r="B58" s="4"/>
      <c r="C58" s="10" t="s">
        <v>108</v>
      </c>
      <c r="D58" s="11" t="s">
        <v>16</v>
      </c>
      <c r="E58" s="22">
        <v>2</v>
      </c>
      <c r="F58" s="13">
        <v>18500</v>
      </c>
      <c r="G58" s="14">
        <f>+E58*F58*1.18</f>
        <v>43660</v>
      </c>
      <c r="H58" s="15">
        <v>44991</v>
      </c>
      <c r="I58" s="16">
        <v>44991</v>
      </c>
      <c r="J58" s="17" t="s">
        <v>109</v>
      </c>
      <c r="K58" s="18"/>
      <c r="L58" s="18"/>
      <c r="M58" s="18"/>
    </row>
    <row r="59" spans="1:13" s="19" customFormat="1" ht="18.95" customHeight="1" x14ac:dyDescent="0.25">
      <c r="A59" s="4"/>
      <c r="B59" s="4"/>
      <c r="C59" s="20" t="s">
        <v>110</v>
      </c>
      <c r="D59" s="21" t="s">
        <v>16</v>
      </c>
      <c r="E59" s="22">
        <f>'[1]INVENTARIO MENSUAL'!AY58</f>
        <v>1</v>
      </c>
      <c r="F59" s="13">
        <f>19.5*1.18</f>
        <v>23.009999999999998</v>
      </c>
      <c r="G59" s="14">
        <f t="shared" si="0"/>
        <v>23.009999999999998</v>
      </c>
      <c r="H59" s="15">
        <v>42284</v>
      </c>
      <c r="I59" s="16">
        <v>44888</v>
      </c>
      <c r="J59" s="17" t="s">
        <v>111</v>
      </c>
      <c r="K59" s="18"/>
      <c r="L59" s="18"/>
      <c r="M59" s="18"/>
    </row>
    <row r="60" spans="1:13" s="19" customFormat="1" ht="18.95" customHeight="1" x14ac:dyDescent="0.25">
      <c r="A60" s="4"/>
      <c r="B60" s="4"/>
      <c r="C60" s="20" t="s">
        <v>112</v>
      </c>
      <c r="D60" s="21" t="s">
        <v>16</v>
      </c>
      <c r="E60" s="22">
        <f>'[1]INVENTARIO MENSUAL'!AY296</f>
        <v>31</v>
      </c>
      <c r="F60" s="13">
        <f>219.3*1.18</f>
        <v>258.774</v>
      </c>
      <c r="G60" s="14">
        <f t="shared" si="0"/>
        <v>8021.9939999999997</v>
      </c>
      <c r="H60" s="15">
        <v>42779</v>
      </c>
      <c r="I60" s="16">
        <v>44874</v>
      </c>
      <c r="J60" s="17" t="s">
        <v>113</v>
      </c>
      <c r="K60" s="18"/>
      <c r="L60" s="18"/>
      <c r="M60" s="18"/>
    </row>
    <row r="61" spans="1:13" s="19" customFormat="1" ht="18.75" customHeight="1" x14ac:dyDescent="0.25">
      <c r="A61" s="29"/>
      <c r="B61" s="29"/>
      <c r="C61" s="20" t="s">
        <v>114</v>
      </c>
      <c r="D61" s="21" t="s">
        <v>27</v>
      </c>
      <c r="E61" s="22">
        <v>263</v>
      </c>
      <c r="F61" s="30">
        <v>21.625</v>
      </c>
      <c r="G61" s="31">
        <f>E61*F61*1.18</f>
        <v>6711.1025</v>
      </c>
      <c r="H61" s="32">
        <v>41422</v>
      </c>
      <c r="I61" s="33">
        <v>45089</v>
      </c>
      <c r="J61" s="34" t="s">
        <v>115</v>
      </c>
      <c r="K61" s="18"/>
      <c r="L61" s="18"/>
      <c r="M61" s="18"/>
    </row>
    <row r="62" spans="1:13" s="19" customFormat="1" ht="18.95" customHeight="1" x14ac:dyDescent="0.25">
      <c r="A62" s="4"/>
      <c r="B62" s="4"/>
      <c r="C62" s="20" t="s">
        <v>116</v>
      </c>
      <c r="D62" s="21" t="s">
        <v>117</v>
      </c>
      <c r="E62" s="22">
        <f>'[1]INVENTARIO MENSUAL'!AY103</f>
        <v>0</v>
      </c>
      <c r="F62" s="13">
        <f>281.48*1.18</f>
        <v>332.14640000000003</v>
      </c>
      <c r="G62" s="14">
        <f>F62*E62</f>
        <v>0</v>
      </c>
      <c r="H62" s="15">
        <v>42997</v>
      </c>
      <c r="I62" s="16">
        <v>45020</v>
      </c>
      <c r="J62" s="17" t="s">
        <v>118</v>
      </c>
      <c r="K62" s="18"/>
      <c r="L62" s="18"/>
      <c r="M62" s="18"/>
    </row>
    <row r="63" spans="1:13" s="19" customFormat="1" ht="18.95" customHeight="1" x14ac:dyDescent="0.25">
      <c r="A63" s="4"/>
      <c r="B63" s="4"/>
      <c r="C63" s="20" t="s">
        <v>119</v>
      </c>
      <c r="D63" s="21" t="s">
        <v>27</v>
      </c>
      <c r="E63" s="22">
        <f>'[1]INVENTARIO MENSUAL'!AY303</f>
        <v>0</v>
      </c>
      <c r="F63" s="13">
        <f>177.73*1.18</f>
        <v>209.72139999999999</v>
      </c>
      <c r="G63" s="14">
        <f>E63*F63</f>
        <v>0</v>
      </c>
      <c r="H63" s="15">
        <v>42751</v>
      </c>
      <c r="I63" s="16">
        <v>44949</v>
      </c>
      <c r="J63" s="17" t="s">
        <v>120</v>
      </c>
      <c r="K63" s="18"/>
      <c r="L63" s="18"/>
      <c r="M63" s="18"/>
    </row>
    <row r="64" spans="1:13" s="19" customFormat="1" ht="18.95" customHeight="1" x14ac:dyDescent="0.25">
      <c r="A64" s="4"/>
      <c r="B64" s="4"/>
      <c r="C64" s="20" t="s">
        <v>121</v>
      </c>
      <c r="D64" s="21" t="s">
        <v>13</v>
      </c>
      <c r="E64" s="22">
        <v>23</v>
      </c>
      <c r="F64" s="13">
        <v>256.68</v>
      </c>
      <c r="G64" s="14">
        <f>+E64*F64*1.18</f>
        <v>6966.2951999999996</v>
      </c>
      <c r="H64" s="15">
        <v>44575</v>
      </c>
      <c r="I64" s="16">
        <v>45007</v>
      </c>
      <c r="J64" s="17" t="s">
        <v>122</v>
      </c>
      <c r="K64" s="18"/>
      <c r="L64" s="18"/>
      <c r="M64" s="18"/>
    </row>
    <row r="65" spans="1:13" s="19" customFormat="1" ht="18.95" customHeight="1" x14ac:dyDescent="0.25">
      <c r="A65" s="4"/>
      <c r="B65" s="4"/>
      <c r="C65" s="20" t="s">
        <v>123</v>
      </c>
      <c r="D65" s="21" t="s">
        <v>16</v>
      </c>
      <c r="E65" s="22">
        <f>'[1]INVENTARIO MENSUAL'!AY59</f>
        <v>28</v>
      </c>
      <c r="F65" s="13">
        <v>169</v>
      </c>
      <c r="G65" s="14">
        <f>F65*E65</f>
        <v>4732</v>
      </c>
      <c r="H65" s="15">
        <v>42741</v>
      </c>
      <c r="I65" s="16">
        <v>44323</v>
      </c>
      <c r="J65" s="17" t="s">
        <v>124</v>
      </c>
      <c r="K65" s="18"/>
      <c r="L65" s="18"/>
      <c r="M65" s="18"/>
    </row>
    <row r="66" spans="1:13" s="19" customFormat="1" ht="18.95" customHeight="1" x14ac:dyDescent="0.25">
      <c r="A66" s="4"/>
      <c r="B66" s="4"/>
      <c r="C66" s="20" t="s">
        <v>125</v>
      </c>
      <c r="D66" s="21" t="s">
        <v>16</v>
      </c>
      <c r="E66" s="22">
        <f>'[1]INVENTARIO MENSUAL'!AY60</f>
        <v>26</v>
      </c>
      <c r="F66" s="13">
        <v>70</v>
      </c>
      <c r="G66" s="14">
        <f>F66*E66</f>
        <v>1820</v>
      </c>
      <c r="H66" s="15">
        <v>43056</v>
      </c>
      <c r="I66" s="16">
        <v>44327</v>
      </c>
      <c r="J66" s="17" t="s">
        <v>126</v>
      </c>
      <c r="K66" s="18"/>
      <c r="L66" s="18"/>
      <c r="M66" s="18"/>
    </row>
    <row r="67" spans="1:13" s="19" customFormat="1" ht="18.95" customHeight="1" x14ac:dyDescent="0.25">
      <c r="A67" s="4"/>
      <c r="B67" s="4"/>
      <c r="C67" s="20" t="s">
        <v>127</v>
      </c>
      <c r="D67" s="21" t="s">
        <v>16</v>
      </c>
      <c r="E67" s="22">
        <f>'[1]INVENTARIO MENSUAL'!AY306</f>
        <v>22</v>
      </c>
      <c r="F67" s="13">
        <f>1020*1.18</f>
        <v>1203.5999999999999</v>
      </c>
      <c r="G67" s="14">
        <f>E67*F67</f>
        <v>26479.199999999997</v>
      </c>
      <c r="H67" s="15">
        <v>44566</v>
      </c>
      <c r="I67" s="16">
        <v>45075</v>
      </c>
      <c r="J67" s="17" t="s">
        <v>128</v>
      </c>
      <c r="K67" s="18"/>
      <c r="L67" s="18"/>
      <c r="M67" s="18"/>
    </row>
    <row r="68" spans="1:13" s="19" customFormat="1" ht="18.95" customHeight="1" x14ac:dyDescent="0.25">
      <c r="A68" s="4"/>
      <c r="B68" s="4"/>
      <c r="C68" s="10" t="s">
        <v>129</v>
      </c>
      <c r="D68" s="11" t="s">
        <v>16</v>
      </c>
      <c r="E68" s="12">
        <f>'[1]INVENTARIO MENSUAL'!AY304</f>
        <v>93</v>
      </c>
      <c r="F68" s="13">
        <v>165</v>
      </c>
      <c r="G68" s="14">
        <f>E68*F68</f>
        <v>15345</v>
      </c>
      <c r="H68" s="15">
        <v>38851</v>
      </c>
      <c r="I68" s="16">
        <v>43802</v>
      </c>
      <c r="J68" s="17" t="s">
        <v>130</v>
      </c>
      <c r="K68" s="18"/>
      <c r="L68" s="18"/>
      <c r="M68" s="18"/>
    </row>
    <row r="69" spans="1:13" s="19" customFormat="1" ht="18.95" customHeight="1" x14ac:dyDescent="0.25">
      <c r="A69" s="4"/>
      <c r="B69" s="4"/>
      <c r="C69" s="10" t="s">
        <v>131</v>
      </c>
      <c r="D69" s="11" t="s">
        <v>16</v>
      </c>
      <c r="E69" s="12">
        <f>'[1]INVENTARIO MENSUAL'!AY305</f>
        <v>10</v>
      </c>
      <c r="F69" s="13">
        <f>3115*1.18</f>
        <v>3675.7</v>
      </c>
      <c r="G69" s="14">
        <f>F69*E69</f>
        <v>36757</v>
      </c>
      <c r="H69" s="15">
        <v>42751</v>
      </c>
      <c r="I69" s="16">
        <v>45092</v>
      </c>
      <c r="J69" s="17" t="s">
        <v>132</v>
      </c>
      <c r="K69" s="18"/>
      <c r="L69" s="18"/>
      <c r="M69" s="18"/>
    </row>
    <row r="70" spans="1:13" s="19" customFormat="1" ht="18.95" customHeight="1" x14ac:dyDescent="0.25">
      <c r="A70" s="4"/>
      <c r="B70" s="4"/>
      <c r="C70" s="10" t="s">
        <v>133</v>
      </c>
      <c r="D70" s="11" t="s">
        <v>16</v>
      </c>
      <c r="E70" s="12">
        <f>'[1]INVENTARIO MENSUAL'!AY175</f>
        <v>37</v>
      </c>
      <c r="F70" s="13">
        <v>8</v>
      </c>
      <c r="G70" s="14">
        <f>F70*E70</f>
        <v>296</v>
      </c>
      <c r="H70" s="15">
        <v>42979</v>
      </c>
      <c r="I70" s="16">
        <v>43391</v>
      </c>
      <c r="J70" s="17" t="s">
        <v>134</v>
      </c>
      <c r="K70" s="18"/>
      <c r="L70" s="18"/>
      <c r="M70" s="18"/>
    </row>
    <row r="71" spans="1:13" s="19" customFormat="1" ht="18.95" customHeight="1" x14ac:dyDescent="0.25">
      <c r="A71" s="4"/>
      <c r="B71" s="4"/>
      <c r="C71" s="20" t="s">
        <v>135</v>
      </c>
      <c r="D71" s="21" t="s">
        <v>16</v>
      </c>
      <c r="E71" s="22">
        <f>'[1]INVENTARIO MENSUAL'!AY309</f>
        <v>149</v>
      </c>
      <c r="F71" s="13">
        <f>112.85*1.18</f>
        <v>133.16299999999998</v>
      </c>
      <c r="G71" s="14">
        <f>F71*E71</f>
        <v>19841.286999999997</v>
      </c>
      <c r="H71" s="15">
        <v>38672</v>
      </c>
      <c r="I71" s="16">
        <v>45075</v>
      </c>
      <c r="J71" s="17" t="s">
        <v>136</v>
      </c>
      <c r="K71" s="18"/>
      <c r="L71" s="18"/>
      <c r="M71" s="18"/>
    </row>
    <row r="72" spans="1:13" s="19" customFormat="1" ht="18.95" customHeight="1" x14ac:dyDescent="0.25">
      <c r="A72" s="4"/>
      <c r="B72" s="4"/>
      <c r="C72" s="10" t="s">
        <v>137</v>
      </c>
      <c r="D72" s="11" t="s">
        <v>16</v>
      </c>
      <c r="E72" s="12">
        <v>19</v>
      </c>
      <c r="F72" s="13">
        <v>123.02</v>
      </c>
      <c r="G72" s="14">
        <f>F72*E72*1.18</f>
        <v>2758.1084000000001</v>
      </c>
      <c r="H72" s="15">
        <v>42997</v>
      </c>
      <c r="I72" s="16">
        <v>45075</v>
      </c>
      <c r="J72" s="17" t="s">
        <v>138</v>
      </c>
      <c r="K72" s="18"/>
      <c r="L72" s="18"/>
      <c r="M72" s="18"/>
    </row>
    <row r="73" spans="1:13" s="19" customFormat="1" ht="18.95" customHeight="1" x14ac:dyDescent="0.25">
      <c r="A73" s="4"/>
      <c r="B73" s="4"/>
      <c r="C73" s="10" t="s">
        <v>139</v>
      </c>
      <c r="D73" s="11" t="s">
        <v>16</v>
      </c>
      <c r="E73" s="12">
        <f>'[1]INVENTARIO MENSUAL'!AY312</f>
        <v>0</v>
      </c>
      <c r="F73" s="13">
        <v>465.66</v>
      </c>
      <c r="G73" s="14">
        <f>F73*E73*1.18</f>
        <v>0</v>
      </c>
      <c r="H73" s="15">
        <v>42883</v>
      </c>
      <c r="I73" s="16">
        <v>44873</v>
      </c>
      <c r="J73" s="17" t="s">
        <v>140</v>
      </c>
      <c r="K73" s="18"/>
      <c r="L73" s="18"/>
      <c r="M73" s="18"/>
    </row>
    <row r="74" spans="1:13" s="19" customFormat="1" ht="18.95" customHeight="1" x14ac:dyDescent="0.25">
      <c r="A74" s="4"/>
      <c r="B74" s="4"/>
      <c r="C74" s="10" t="s">
        <v>141</v>
      </c>
      <c r="D74" s="11" t="s">
        <v>16</v>
      </c>
      <c r="E74" s="12">
        <f>'[1]INVENTARIO MENSUAL'!AY63</f>
        <v>0</v>
      </c>
      <c r="F74" s="13">
        <v>4.5599999999999996</v>
      </c>
      <c r="G74" s="14">
        <f>F74*E74</f>
        <v>0</v>
      </c>
      <c r="H74" s="15">
        <v>41956</v>
      </c>
      <c r="I74" s="16">
        <v>42899</v>
      </c>
      <c r="J74" s="17" t="s">
        <v>142</v>
      </c>
      <c r="K74" s="18"/>
      <c r="L74" s="18"/>
      <c r="M74" s="18"/>
    </row>
    <row r="75" spans="1:13" s="19" customFormat="1" ht="18.95" customHeight="1" x14ac:dyDescent="0.25">
      <c r="A75" s="4"/>
      <c r="B75" s="4"/>
      <c r="C75" s="10" t="s">
        <v>143</v>
      </c>
      <c r="D75" s="11" t="s">
        <v>16</v>
      </c>
      <c r="E75" s="12">
        <f>'[1]INVENTARIO MENSUAL'!AY62</f>
        <v>4411</v>
      </c>
      <c r="F75" s="13">
        <v>8</v>
      </c>
      <c r="G75" s="14">
        <f>F75*E75</f>
        <v>35288</v>
      </c>
      <c r="H75" s="15">
        <v>41955</v>
      </c>
      <c r="I75" s="16">
        <v>42899</v>
      </c>
      <c r="J75" s="17" t="s">
        <v>144</v>
      </c>
      <c r="K75" s="18"/>
      <c r="L75" s="18"/>
      <c r="M75" s="18"/>
    </row>
    <row r="76" spans="1:13" s="19" customFormat="1" ht="18.95" customHeight="1" x14ac:dyDescent="0.25">
      <c r="A76" s="4"/>
      <c r="B76" s="4"/>
      <c r="C76" s="20" t="s">
        <v>145</v>
      </c>
      <c r="D76" s="21" t="s">
        <v>16</v>
      </c>
      <c r="E76" s="22">
        <f>'[1]INVENTARIO MENSUAL'!AY313</f>
        <v>275</v>
      </c>
      <c r="F76" s="13">
        <f>17.5*1.18</f>
        <v>20.65</v>
      </c>
      <c r="G76" s="14">
        <f>E76*F76</f>
        <v>5678.75</v>
      </c>
      <c r="H76" s="15">
        <v>38672</v>
      </c>
      <c r="I76" s="16">
        <v>45084</v>
      </c>
      <c r="J76" s="17" t="s">
        <v>146</v>
      </c>
      <c r="K76" s="18"/>
      <c r="L76" s="18"/>
      <c r="M76" s="18"/>
    </row>
    <row r="77" spans="1:13" s="19" customFormat="1" ht="18.95" customHeight="1" x14ac:dyDescent="0.25">
      <c r="A77" s="4"/>
      <c r="B77" s="4"/>
      <c r="C77" s="10" t="s">
        <v>147</v>
      </c>
      <c r="D77" s="11" t="s">
        <v>27</v>
      </c>
      <c r="E77" s="12">
        <f>'[1]INVENTARIO MENSUAL'!AY66</f>
        <v>21</v>
      </c>
      <c r="F77" s="13">
        <v>38.94</v>
      </c>
      <c r="G77" s="14">
        <f>F77*E77</f>
        <v>817.74</v>
      </c>
      <c r="H77" s="15">
        <v>42940</v>
      </c>
      <c r="I77" s="16">
        <v>43347</v>
      </c>
      <c r="J77" s="17" t="s">
        <v>148</v>
      </c>
      <c r="K77" s="18"/>
      <c r="L77" s="18"/>
      <c r="M77" s="18"/>
    </row>
    <row r="78" spans="1:13" s="19" customFormat="1" ht="18.95" customHeight="1" x14ac:dyDescent="0.25">
      <c r="A78" s="4"/>
      <c r="B78" s="4"/>
      <c r="C78" s="20" t="s">
        <v>149</v>
      </c>
      <c r="D78" s="21" t="s">
        <v>16</v>
      </c>
      <c r="E78" s="22">
        <f>'[1]INVENTARIO MENSUAL'!AY67</f>
        <v>1024</v>
      </c>
      <c r="F78" s="13">
        <v>14.5</v>
      </c>
      <c r="G78" s="14">
        <f>E78*F78</f>
        <v>14848</v>
      </c>
      <c r="H78" s="15">
        <v>42751</v>
      </c>
      <c r="I78" s="16">
        <v>44224</v>
      </c>
      <c r="J78" s="17" t="s">
        <v>150</v>
      </c>
      <c r="K78" s="18"/>
      <c r="L78" s="18"/>
      <c r="M78" s="18"/>
    </row>
    <row r="79" spans="1:13" s="19" customFormat="1" ht="18.95" customHeight="1" x14ac:dyDescent="0.25">
      <c r="A79" s="4"/>
      <c r="B79" s="4"/>
      <c r="C79" s="20" t="s">
        <v>151</v>
      </c>
      <c r="D79" s="21" t="s">
        <v>16</v>
      </c>
      <c r="E79" s="22">
        <f>'[1]INVENTARIO MENSUAL'!AY72</f>
        <v>0</v>
      </c>
      <c r="F79" s="13">
        <v>2.6</v>
      </c>
      <c r="G79" s="14">
        <f>F79*E79</f>
        <v>0</v>
      </c>
      <c r="H79" s="15">
        <v>42978</v>
      </c>
      <c r="I79" s="16">
        <v>44455</v>
      </c>
      <c r="J79" s="17" t="s">
        <v>152</v>
      </c>
      <c r="K79" s="18"/>
      <c r="L79" s="18"/>
      <c r="M79" s="18"/>
    </row>
    <row r="80" spans="1:13" s="19" customFormat="1" ht="18.95" customHeight="1" x14ac:dyDescent="0.25">
      <c r="A80" s="4"/>
      <c r="B80" s="4"/>
      <c r="C80" s="20" t="s">
        <v>153</v>
      </c>
      <c r="D80" s="21" t="s">
        <v>16</v>
      </c>
      <c r="E80" s="22">
        <f>+'[1]INVENTARIO MENSUAL'!AY74</f>
        <v>4560</v>
      </c>
      <c r="F80" s="13">
        <f>204000/6000</f>
        <v>34</v>
      </c>
      <c r="G80" s="14">
        <f>+E80*F80*1.18</f>
        <v>182947.19999999998</v>
      </c>
      <c r="H80" s="15"/>
      <c r="I80" s="16">
        <v>45019</v>
      </c>
      <c r="J80" s="17" t="s">
        <v>154</v>
      </c>
      <c r="K80" s="18"/>
      <c r="L80" s="18"/>
      <c r="M80" s="18"/>
    </row>
    <row r="81" spans="1:13" s="19" customFormat="1" ht="18.95" customHeight="1" x14ac:dyDescent="0.25">
      <c r="A81" s="4"/>
      <c r="B81" s="4"/>
      <c r="C81" s="20" t="s">
        <v>155</v>
      </c>
      <c r="D81" s="21" t="s">
        <v>16</v>
      </c>
      <c r="E81" s="22">
        <f>'[1]INVENTARIO MENSUAL'!AY324</f>
        <v>19650</v>
      </c>
      <c r="F81" s="13">
        <f>0.87*1.18</f>
        <v>1.0266</v>
      </c>
      <c r="G81" s="14">
        <f>E81*F81</f>
        <v>20172.689999999999</v>
      </c>
      <c r="H81" s="15">
        <v>40507</v>
      </c>
      <c r="I81" s="16">
        <v>45092</v>
      </c>
      <c r="J81" s="17" t="s">
        <v>156</v>
      </c>
      <c r="K81" s="18"/>
      <c r="L81" s="18"/>
      <c r="M81" s="18"/>
    </row>
    <row r="82" spans="1:13" s="19" customFormat="1" ht="18.95" customHeight="1" x14ac:dyDescent="0.25">
      <c r="A82" s="4"/>
      <c r="B82" s="4"/>
      <c r="C82" s="20" t="s">
        <v>157</v>
      </c>
      <c r="D82" s="21" t="s">
        <v>16</v>
      </c>
      <c r="E82" s="22">
        <f>'[1]INVENTARIO MENSUAL'!AY317</f>
        <v>19710</v>
      </c>
      <c r="F82" s="13">
        <f>3.87*1.18</f>
        <v>4.5666000000000002</v>
      </c>
      <c r="G82" s="14">
        <f t="shared" ref="G82:G89" si="1">F82*E82</f>
        <v>90007.686000000002</v>
      </c>
      <c r="H82" s="15">
        <v>42748</v>
      </c>
      <c r="I82" s="16">
        <v>45092</v>
      </c>
      <c r="J82" s="17" t="s">
        <v>158</v>
      </c>
      <c r="K82" s="18"/>
      <c r="L82" s="18"/>
      <c r="M82" s="18"/>
    </row>
    <row r="83" spans="1:13" s="19" customFormat="1" ht="18.95" customHeight="1" x14ac:dyDescent="0.25">
      <c r="A83" s="4"/>
      <c r="B83" s="4"/>
      <c r="C83" s="10" t="s">
        <v>159</v>
      </c>
      <c r="D83" s="11" t="s">
        <v>16</v>
      </c>
      <c r="E83" s="12">
        <f>'[1]INVENTARIO MENSUAL'!AY316</f>
        <v>17300</v>
      </c>
      <c r="F83" s="13">
        <f>2.35*1.18</f>
        <v>2.7730000000000001</v>
      </c>
      <c r="G83" s="14">
        <f t="shared" si="1"/>
        <v>47972.9</v>
      </c>
      <c r="H83" s="15">
        <v>42998</v>
      </c>
      <c r="I83" s="16">
        <v>45098</v>
      </c>
      <c r="J83" s="17" t="s">
        <v>160</v>
      </c>
      <c r="K83" s="18"/>
      <c r="L83" s="18"/>
      <c r="M83" s="18"/>
    </row>
    <row r="84" spans="1:13" s="19" customFormat="1" ht="18.95" customHeight="1" x14ac:dyDescent="0.25">
      <c r="A84" s="4"/>
      <c r="B84" s="4"/>
      <c r="C84" s="20" t="s">
        <v>161</v>
      </c>
      <c r="D84" s="21" t="s">
        <v>162</v>
      </c>
      <c r="E84" s="22">
        <f>'[1]INVENTARIO MENSUAL'!AY81</f>
        <v>19</v>
      </c>
      <c r="F84" s="13">
        <f>61.87*1.18</f>
        <v>73.006599999999992</v>
      </c>
      <c r="G84" s="14">
        <f t="shared" si="1"/>
        <v>1387.1253999999999</v>
      </c>
      <c r="H84" s="15">
        <v>42748</v>
      </c>
      <c r="I84" s="16">
        <v>44888</v>
      </c>
      <c r="J84" s="17" t="s">
        <v>163</v>
      </c>
      <c r="K84" s="18"/>
      <c r="L84" s="18"/>
      <c r="M84" s="18"/>
    </row>
    <row r="85" spans="1:13" s="19" customFormat="1" ht="18.95" customHeight="1" x14ac:dyDescent="0.25">
      <c r="A85" s="4"/>
      <c r="B85" s="4"/>
      <c r="C85" s="20" t="s">
        <v>164</v>
      </c>
      <c r="D85" s="21" t="s">
        <v>16</v>
      </c>
      <c r="E85" s="22">
        <v>39</v>
      </c>
      <c r="F85" s="13">
        <v>5.99</v>
      </c>
      <c r="G85" s="14">
        <f t="shared" si="1"/>
        <v>233.61</v>
      </c>
      <c r="H85" s="15">
        <v>44551</v>
      </c>
      <c r="I85" s="16">
        <v>44893</v>
      </c>
      <c r="J85" s="17" t="s">
        <v>165</v>
      </c>
      <c r="K85" s="18"/>
      <c r="L85" s="18"/>
      <c r="M85" s="18"/>
    </row>
    <row r="86" spans="1:13" s="19" customFormat="1" ht="18.95" customHeight="1" x14ac:dyDescent="0.25">
      <c r="A86" s="4"/>
      <c r="B86" s="4"/>
      <c r="C86" s="20" t="s">
        <v>166</v>
      </c>
      <c r="D86" s="21" t="s">
        <v>16</v>
      </c>
      <c r="E86" s="22">
        <f>'[1]INVENTARIO MENSUAL'!AY85</f>
        <v>2</v>
      </c>
      <c r="F86" s="13">
        <f>190*1.18</f>
        <v>224.2</v>
      </c>
      <c r="G86" s="14">
        <f t="shared" si="1"/>
        <v>448.4</v>
      </c>
      <c r="H86" s="15">
        <v>43089</v>
      </c>
      <c r="I86" s="16">
        <v>44931</v>
      </c>
      <c r="J86" s="23" t="s">
        <v>167</v>
      </c>
      <c r="K86" s="18"/>
      <c r="L86" s="18"/>
      <c r="M86" s="18"/>
    </row>
    <row r="87" spans="1:13" s="19" customFormat="1" ht="18.95" customHeight="1" x14ac:dyDescent="0.25">
      <c r="A87" s="4"/>
      <c r="B87" s="4"/>
      <c r="C87" s="20" t="s">
        <v>168</v>
      </c>
      <c r="D87" s="21" t="s">
        <v>16</v>
      </c>
      <c r="E87" s="22">
        <f>'[1]INVENTARIO MENSUAL'!AY84</f>
        <v>0</v>
      </c>
      <c r="F87" s="13">
        <f>254.24*1.18</f>
        <v>300.00319999999999</v>
      </c>
      <c r="G87" s="14">
        <f t="shared" si="1"/>
        <v>0</v>
      </c>
      <c r="H87" s="15">
        <v>44551</v>
      </c>
      <c r="I87" s="16">
        <v>44551</v>
      </c>
      <c r="J87" s="23" t="s">
        <v>169</v>
      </c>
      <c r="K87" s="18"/>
      <c r="L87" s="18"/>
      <c r="M87" s="18"/>
    </row>
    <row r="88" spans="1:13" s="19" customFormat="1" ht="18.95" customHeight="1" x14ac:dyDescent="0.25">
      <c r="A88" s="4"/>
      <c r="B88" s="4"/>
      <c r="C88" s="20" t="s">
        <v>170</v>
      </c>
      <c r="D88" s="21" t="s">
        <v>162</v>
      </c>
      <c r="E88" s="22">
        <f>'[1]INVENTARIO MENSUAL'!AY86</f>
        <v>0</v>
      </c>
      <c r="F88" s="13">
        <f>35.6*1.18</f>
        <v>42.008000000000003</v>
      </c>
      <c r="G88" s="14">
        <f t="shared" si="1"/>
        <v>0</v>
      </c>
      <c r="H88" s="15">
        <v>43118</v>
      </c>
      <c r="I88" s="16">
        <v>44888</v>
      </c>
      <c r="J88" s="17" t="s">
        <v>171</v>
      </c>
      <c r="K88" s="18"/>
      <c r="L88" s="18"/>
      <c r="M88" s="18"/>
    </row>
    <row r="89" spans="1:13" s="19" customFormat="1" ht="18.95" customHeight="1" x14ac:dyDescent="0.25">
      <c r="A89" s="4"/>
      <c r="B89" s="4"/>
      <c r="C89" s="10" t="s">
        <v>172</v>
      </c>
      <c r="D89" s="11" t="s">
        <v>162</v>
      </c>
      <c r="E89" s="12">
        <f>'[1]INVENTARIO MENSUAL'!AY87</f>
        <v>36</v>
      </c>
      <c r="F89" s="13">
        <v>34</v>
      </c>
      <c r="G89" s="14">
        <f t="shared" si="1"/>
        <v>1224</v>
      </c>
      <c r="H89" s="15">
        <v>42998</v>
      </c>
      <c r="I89" s="16">
        <v>43432</v>
      </c>
      <c r="J89" s="17" t="s">
        <v>173</v>
      </c>
      <c r="K89" s="18"/>
      <c r="L89" s="18"/>
      <c r="M89" s="18"/>
    </row>
    <row r="90" spans="1:13" s="19" customFormat="1" ht="18.95" customHeight="1" x14ac:dyDescent="0.25">
      <c r="A90" s="4"/>
      <c r="B90" s="4"/>
      <c r="C90" s="10" t="s">
        <v>174</v>
      </c>
      <c r="D90" s="11" t="s">
        <v>175</v>
      </c>
      <c r="E90" s="12">
        <f>'[1]INVENTARIO MENSUAL'!AY321</f>
        <v>79</v>
      </c>
      <c r="F90" s="13">
        <f>70.8*1.18</f>
        <v>83.543999999999997</v>
      </c>
      <c r="G90" s="14">
        <f>E90*F90</f>
        <v>6599.9759999999997</v>
      </c>
      <c r="H90" s="15">
        <v>44575</v>
      </c>
      <c r="I90" s="16">
        <v>45075</v>
      </c>
      <c r="J90" s="17" t="s">
        <v>176</v>
      </c>
      <c r="K90" s="18"/>
      <c r="L90" s="18"/>
      <c r="M90" s="18"/>
    </row>
    <row r="91" spans="1:13" s="19" customFormat="1" ht="18.95" customHeight="1" x14ac:dyDescent="0.25">
      <c r="A91" s="4"/>
      <c r="B91" s="4"/>
      <c r="C91" s="10" t="s">
        <v>177</v>
      </c>
      <c r="D91" s="11" t="s">
        <v>16</v>
      </c>
      <c r="E91" s="12">
        <f>'[1]INVENTARIO MENSUAL'!AY88</f>
        <v>6730</v>
      </c>
      <c r="F91" s="13">
        <v>3</v>
      </c>
      <c r="G91" s="14">
        <f>F91*E91</f>
        <v>20190</v>
      </c>
      <c r="H91" s="15">
        <v>42751</v>
      </c>
      <c r="I91" s="16">
        <v>44126</v>
      </c>
      <c r="J91" s="17" t="s">
        <v>178</v>
      </c>
      <c r="K91" s="18"/>
      <c r="L91" s="18"/>
      <c r="M91" s="18"/>
    </row>
    <row r="92" spans="1:13" s="19" customFormat="1" ht="18.95" customHeight="1" x14ac:dyDescent="0.25">
      <c r="A92" s="4"/>
      <c r="B92" s="4"/>
      <c r="C92" s="10" t="s">
        <v>179</v>
      </c>
      <c r="D92" s="11" t="s">
        <v>16</v>
      </c>
      <c r="E92" s="12">
        <f>'[1]INVENTARIO MENSUAL'!AY329</f>
        <v>213</v>
      </c>
      <c r="F92" s="13">
        <f>90*1.18</f>
        <v>106.19999999999999</v>
      </c>
      <c r="G92" s="14">
        <f>F92*E92</f>
        <v>22620.6</v>
      </c>
      <c r="H92" s="15">
        <v>42998</v>
      </c>
      <c r="I92" s="16">
        <v>45084</v>
      </c>
      <c r="J92" s="17" t="s">
        <v>180</v>
      </c>
      <c r="K92" s="18"/>
      <c r="L92" s="18"/>
      <c r="M92" s="18"/>
    </row>
    <row r="93" spans="1:13" s="19" customFormat="1" ht="18.75" customHeight="1" x14ac:dyDescent="0.25">
      <c r="A93" s="4"/>
      <c r="B93" s="4"/>
      <c r="C93" s="20" t="s">
        <v>181</v>
      </c>
      <c r="D93" s="21" t="s">
        <v>16</v>
      </c>
      <c r="E93" s="22">
        <f>'[1]INVENTARIO MENSUAL'!AY327</f>
        <v>125</v>
      </c>
      <c r="F93" s="13">
        <f>24.61*1.18</f>
        <v>29.039799999999996</v>
      </c>
      <c r="G93" s="14">
        <f>F93*E93</f>
        <v>3629.9749999999995</v>
      </c>
      <c r="H93" s="15">
        <v>41316</v>
      </c>
      <c r="I93" s="16">
        <v>45075</v>
      </c>
      <c r="J93" s="17" t="s">
        <v>182</v>
      </c>
      <c r="K93" s="18"/>
      <c r="L93" s="18"/>
      <c r="M93" s="18"/>
    </row>
    <row r="94" spans="1:13" s="19" customFormat="1" ht="18.95" customHeight="1" x14ac:dyDescent="0.25">
      <c r="A94" s="4"/>
      <c r="B94" s="4"/>
      <c r="C94" s="10" t="s">
        <v>183</v>
      </c>
      <c r="D94" s="11" t="s">
        <v>13</v>
      </c>
      <c r="E94" s="12">
        <f>'[1]INVENTARIO MENSUAL'!AY328</f>
        <v>262</v>
      </c>
      <c r="F94" s="13">
        <f>90*1.18</f>
        <v>106.19999999999999</v>
      </c>
      <c r="G94" s="14">
        <f>E94*F94</f>
        <v>27824.399999999998</v>
      </c>
      <c r="H94" s="15">
        <v>42758</v>
      </c>
      <c r="I94" s="16">
        <v>45084</v>
      </c>
      <c r="J94" s="17" t="s">
        <v>184</v>
      </c>
      <c r="K94" s="18"/>
      <c r="L94" s="18"/>
      <c r="M94" s="18"/>
    </row>
    <row r="95" spans="1:13" s="19" customFormat="1" ht="18.95" customHeight="1" x14ac:dyDescent="0.25">
      <c r="A95" s="4"/>
      <c r="B95" s="4"/>
      <c r="C95" s="10" t="s">
        <v>185</v>
      </c>
      <c r="D95" s="11" t="s">
        <v>16</v>
      </c>
      <c r="E95" s="12">
        <v>50</v>
      </c>
      <c r="F95" s="13">
        <v>185</v>
      </c>
      <c r="G95" s="14">
        <f>+E95*F95</f>
        <v>9250</v>
      </c>
      <c r="H95" s="15">
        <v>44574</v>
      </c>
      <c r="I95" s="16">
        <v>45075</v>
      </c>
      <c r="J95" s="17" t="s">
        <v>186</v>
      </c>
      <c r="K95" s="18"/>
      <c r="L95" s="18"/>
      <c r="M95" s="18"/>
    </row>
    <row r="96" spans="1:13" s="19" customFormat="1" ht="18.95" customHeight="1" x14ac:dyDescent="0.25">
      <c r="A96" s="4"/>
      <c r="B96" s="4"/>
      <c r="C96" s="10" t="s">
        <v>187</v>
      </c>
      <c r="D96" s="11" t="s">
        <v>16</v>
      </c>
      <c r="E96" s="12">
        <v>183</v>
      </c>
      <c r="F96" s="13">
        <v>50</v>
      </c>
      <c r="G96" s="14">
        <f>+E96*F96*1.18</f>
        <v>10797</v>
      </c>
      <c r="H96" s="15">
        <v>44617</v>
      </c>
      <c r="I96" s="16">
        <v>44617</v>
      </c>
      <c r="J96" s="17" t="s">
        <v>188</v>
      </c>
      <c r="K96" s="18"/>
      <c r="L96" s="18"/>
      <c r="M96" s="18"/>
    </row>
    <row r="97" spans="1:13" s="19" customFormat="1" ht="18.95" customHeight="1" x14ac:dyDescent="0.25">
      <c r="A97" s="4"/>
      <c r="B97" s="4"/>
      <c r="C97" s="20" t="s">
        <v>189</v>
      </c>
      <c r="D97" s="21" t="s">
        <v>190</v>
      </c>
      <c r="E97" s="22">
        <f>'[1]INVENTARIO MENSUAL'!AY331</f>
        <v>172</v>
      </c>
      <c r="F97" s="13">
        <f>65*1.18</f>
        <v>76.7</v>
      </c>
      <c r="G97" s="14">
        <f>F97*E97</f>
        <v>13192.4</v>
      </c>
      <c r="H97" s="15">
        <v>38672</v>
      </c>
      <c r="I97" s="16">
        <v>45075</v>
      </c>
      <c r="J97" s="17" t="s">
        <v>191</v>
      </c>
      <c r="K97" s="18"/>
      <c r="L97" s="18"/>
      <c r="M97" s="18"/>
    </row>
    <row r="98" spans="1:13" s="19" customFormat="1" ht="18.95" customHeight="1" x14ac:dyDescent="0.25">
      <c r="A98" s="4"/>
      <c r="B98" s="4"/>
      <c r="C98" s="20" t="s">
        <v>192</v>
      </c>
      <c r="D98" s="21" t="s">
        <v>16</v>
      </c>
      <c r="E98" s="22">
        <f>'[1]INVENTARIO MENSUAL'!AY91</f>
        <v>2</v>
      </c>
      <c r="F98" s="13">
        <f>66.5/12</f>
        <v>5.541666666666667</v>
      </c>
      <c r="G98" s="14">
        <f>F98*E98</f>
        <v>11.083333333333334</v>
      </c>
      <c r="H98" s="15">
        <v>42748</v>
      </c>
      <c r="I98" s="16">
        <v>44888</v>
      </c>
      <c r="J98" s="17" t="s">
        <v>193</v>
      </c>
      <c r="K98" s="18"/>
      <c r="L98" s="18"/>
      <c r="M98" s="18"/>
    </row>
    <row r="99" spans="1:13" s="19" customFormat="1" ht="18.95" customHeight="1" x14ac:dyDescent="0.25">
      <c r="A99" s="4"/>
      <c r="B99" s="4"/>
      <c r="C99" s="20" t="s">
        <v>194</v>
      </c>
      <c r="D99" s="21" t="s">
        <v>16</v>
      </c>
      <c r="E99" s="22">
        <f>'[1]INVENTARIO MENSUAL'!AY93</f>
        <v>23</v>
      </c>
      <c r="F99" s="13">
        <v>5.51</v>
      </c>
      <c r="G99" s="14">
        <f>E99*F99</f>
        <v>126.72999999999999</v>
      </c>
      <c r="H99" s="15">
        <v>42492</v>
      </c>
      <c r="I99" s="16">
        <v>44469</v>
      </c>
      <c r="J99" s="17" t="s">
        <v>195</v>
      </c>
      <c r="K99" s="18"/>
      <c r="L99" s="18"/>
      <c r="M99" s="18"/>
    </row>
    <row r="100" spans="1:13" s="19" customFormat="1" ht="18.95" customHeight="1" x14ac:dyDescent="0.25">
      <c r="A100" s="4"/>
      <c r="B100" s="4"/>
      <c r="C100" s="20" t="s">
        <v>196</v>
      </c>
      <c r="D100" s="21" t="s">
        <v>16</v>
      </c>
      <c r="E100" s="22">
        <f>'[1]INVENTARIO MENSUAL'!AY94</f>
        <v>327</v>
      </c>
      <c r="F100" s="13">
        <f>2.9*1.18</f>
        <v>3.4219999999999997</v>
      </c>
      <c r="G100" s="14">
        <f>F100*E100</f>
        <v>1118.9939999999999</v>
      </c>
      <c r="H100" s="15">
        <v>42748</v>
      </c>
      <c r="I100" s="16">
        <v>44953</v>
      </c>
      <c r="J100" s="17" t="s">
        <v>197</v>
      </c>
      <c r="K100" s="18"/>
      <c r="L100" s="18"/>
      <c r="M100" s="18"/>
    </row>
    <row r="101" spans="1:13" s="19" customFormat="1" ht="18.75" customHeight="1" x14ac:dyDescent="0.25">
      <c r="A101" s="4"/>
      <c r="B101" s="4"/>
      <c r="C101" s="20" t="s">
        <v>198</v>
      </c>
      <c r="D101" s="21" t="s">
        <v>16</v>
      </c>
      <c r="E101" s="22">
        <f>'[1]INVENTARIO MENSUAL'!AY97</f>
        <v>0</v>
      </c>
      <c r="F101" s="13">
        <v>6.35</v>
      </c>
      <c r="G101" s="14">
        <f>F101*E101</f>
        <v>0</v>
      </c>
      <c r="H101" s="15">
        <v>44224</v>
      </c>
      <c r="I101" s="16">
        <v>44224</v>
      </c>
      <c r="J101" s="17" t="s">
        <v>199</v>
      </c>
      <c r="K101" s="18"/>
      <c r="L101" s="18"/>
      <c r="M101" s="18"/>
    </row>
    <row r="102" spans="1:13" s="19" customFormat="1" ht="18.95" customHeight="1" x14ac:dyDescent="0.25">
      <c r="A102" s="4"/>
      <c r="B102" s="4"/>
      <c r="C102" s="20" t="s">
        <v>200</v>
      </c>
      <c r="D102" s="21" t="s">
        <v>16</v>
      </c>
      <c r="E102" s="22">
        <f>'[1]INVENTARIO MENSUAL'!AY98</f>
        <v>0</v>
      </c>
      <c r="F102" s="13">
        <f>15.25*1.18</f>
        <v>17.994999999999997</v>
      </c>
      <c r="G102" s="14">
        <f>F102*E102</f>
        <v>0</v>
      </c>
      <c r="H102" s="15">
        <v>44224</v>
      </c>
      <c r="I102" s="16">
        <v>44888</v>
      </c>
      <c r="J102" s="17" t="s">
        <v>201</v>
      </c>
      <c r="K102" s="18"/>
      <c r="L102" s="18"/>
      <c r="M102" s="18"/>
    </row>
    <row r="103" spans="1:13" s="19" customFormat="1" ht="18.95" customHeight="1" x14ac:dyDescent="0.25">
      <c r="A103" s="4"/>
      <c r="B103" s="4"/>
      <c r="C103" s="20" t="s">
        <v>202</v>
      </c>
      <c r="D103" s="21" t="s">
        <v>16</v>
      </c>
      <c r="E103" s="22">
        <f>'[1]INVENTARIO MENSUAL'!AY99</f>
        <v>0</v>
      </c>
      <c r="F103" s="13">
        <f>16.85*1.18</f>
        <v>19.882999999999999</v>
      </c>
      <c r="G103" s="14">
        <f>E103*F103</f>
        <v>0</v>
      </c>
      <c r="H103" s="15">
        <v>44678</v>
      </c>
      <c r="I103" s="16">
        <v>44888</v>
      </c>
      <c r="J103" s="17" t="s">
        <v>203</v>
      </c>
      <c r="K103" s="18"/>
      <c r="L103" s="18"/>
      <c r="M103" s="18"/>
    </row>
    <row r="104" spans="1:13" s="19" customFormat="1" ht="18.95" customHeight="1" x14ac:dyDescent="0.25">
      <c r="A104" s="4"/>
      <c r="B104" s="4"/>
      <c r="C104" s="20" t="s">
        <v>204</v>
      </c>
      <c r="D104" s="21" t="s">
        <v>16</v>
      </c>
      <c r="E104" s="22">
        <f>+'[1]INVENTARIO MENSUAL'!AY100</f>
        <v>0</v>
      </c>
      <c r="F104" s="13">
        <v>35</v>
      </c>
      <c r="G104" s="14">
        <f>+E104*F104*1.18</f>
        <v>0</v>
      </c>
      <c r="H104" s="15">
        <v>44893</v>
      </c>
      <c r="I104" s="16">
        <v>44888</v>
      </c>
      <c r="J104" s="17" t="s">
        <v>205</v>
      </c>
      <c r="K104" s="18"/>
      <c r="L104" s="18"/>
      <c r="M104" s="18"/>
    </row>
    <row r="105" spans="1:13" s="19" customFormat="1" ht="18.95" customHeight="1" x14ac:dyDescent="0.25">
      <c r="A105" s="4"/>
      <c r="B105" s="4"/>
      <c r="C105" s="20" t="s">
        <v>206</v>
      </c>
      <c r="D105" s="21" t="s">
        <v>16</v>
      </c>
      <c r="E105" s="22">
        <f>'[1]INVENTARIO MENSUAL'!AY302</f>
        <v>0</v>
      </c>
      <c r="F105" s="13">
        <v>24</v>
      </c>
      <c r="G105" s="14">
        <f>F105*E105</f>
        <v>0</v>
      </c>
      <c r="H105" s="15" t="s">
        <v>207</v>
      </c>
      <c r="I105" s="16">
        <v>44455</v>
      </c>
      <c r="J105" s="23" t="s">
        <v>208</v>
      </c>
      <c r="K105" s="18"/>
      <c r="L105" s="18"/>
      <c r="M105" s="18"/>
    </row>
    <row r="106" spans="1:13" s="19" customFormat="1" ht="18.95" customHeight="1" x14ac:dyDescent="0.25">
      <c r="A106" s="4"/>
      <c r="B106" s="4"/>
      <c r="C106" s="20" t="s">
        <v>209</v>
      </c>
      <c r="D106" s="21" t="s">
        <v>16</v>
      </c>
      <c r="E106" s="22">
        <f>'[1]INVENTARIO MENSUAL'!AY101</f>
        <v>0</v>
      </c>
      <c r="F106" s="13">
        <v>13.5</v>
      </c>
      <c r="G106" s="14">
        <f>F106*E106</f>
        <v>0</v>
      </c>
      <c r="H106" s="15">
        <v>42751</v>
      </c>
      <c r="I106" s="16">
        <v>44455</v>
      </c>
      <c r="J106" s="23" t="s">
        <v>210</v>
      </c>
      <c r="K106" s="18"/>
      <c r="L106" s="18"/>
      <c r="M106" s="18"/>
    </row>
    <row r="107" spans="1:13" s="19" customFormat="1" ht="18.95" customHeight="1" x14ac:dyDescent="0.25">
      <c r="A107" s="4"/>
      <c r="B107" s="4"/>
      <c r="C107" s="10" t="s">
        <v>211</v>
      </c>
      <c r="D107" s="11" t="s">
        <v>16</v>
      </c>
      <c r="E107" s="12">
        <f>'[1]INVENTARIO MENSUAL'!AY104</f>
        <v>28</v>
      </c>
      <c r="F107" s="13">
        <f>189.1*1.18</f>
        <v>223.13799999999998</v>
      </c>
      <c r="G107" s="14">
        <f>F107*E107</f>
        <v>6247.8639999999996</v>
      </c>
      <c r="H107" s="15">
        <v>43133</v>
      </c>
      <c r="I107" s="16">
        <v>44953</v>
      </c>
      <c r="J107" s="23" t="s">
        <v>212</v>
      </c>
      <c r="K107" s="18"/>
      <c r="L107" s="18"/>
      <c r="M107" s="18"/>
    </row>
    <row r="108" spans="1:13" s="19" customFormat="1" ht="18.95" customHeight="1" x14ac:dyDescent="0.25">
      <c r="A108" s="4"/>
      <c r="B108" s="4"/>
      <c r="C108" s="10" t="s">
        <v>213</v>
      </c>
      <c r="D108" s="11" t="s">
        <v>16</v>
      </c>
      <c r="E108" s="12">
        <f>'[1]INVENTARIO MENSUAL'!AY105</f>
        <v>0</v>
      </c>
      <c r="F108" s="13">
        <f>229*1.18</f>
        <v>270.21999999999997</v>
      </c>
      <c r="G108" s="14">
        <f>F108*E108</f>
        <v>0</v>
      </c>
      <c r="H108" s="15">
        <v>43073</v>
      </c>
      <c r="I108" s="16">
        <v>44931</v>
      </c>
      <c r="J108" s="23" t="s">
        <v>214</v>
      </c>
      <c r="K108" s="18"/>
      <c r="L108" s="18"/>
      <c r="M108" s="18"/>
    </row>
    <row r="109" spans="1:13" s="19" customFormat="1" ht="18.95" customHeight="1" x14ac:dyDescent="0.25">
      <c r="A109" s="4"/>
      <c r="B109" s="4"/>
      <c r="C109" s="10" t="s">
        <v>215</v>
      </c>
      <c r="D109" s="11" t="s">
        <v>13</v>
      </c>
      <c r="E109" s="12">
        <f>'[1]INVENTARIO MENSUAL'!AY333</f>
        <v>24</v>
      </c>
      <c r="F109" s="13">
        <v>120</v>
      </c>
      <c r="G109" s="14">
        <f>F109*E109*1.18</f>
        <v>3398.3999999999996</v>
      </c>
      <c r="H109" s="15">
        <v>43173</v>
      </c>
      <c r="I109" s="16">
        <v>45084</v>
      </c>
      <c r="J109" s="17" t="s">
        <v>216</v>
      </c>
      <c r="K109" s="18"/>
      <c r="L109" s="18"/>
      <c r="M109" s="18"/>
    </row>
    <row r="110" spans="1:13" s="19" customFormat="1" ht="18.95" customHeight="1" x14ac:dyDescent="0.25">
      <c r="A110" s="4"/>
      <c r="B110" s="4"/>
      <c r="C110" s="10" t="s">
        <v>217</v>
      </c>
      <c r="D110" s="11" t="s">
        <v>16</v>
      </c>
      <c r="E110" s="12">
        <v>15</v>
      </c>
      <c r="F110" s="13">
        <v>310</v>
      </c>
      <c r="G110" s="14">
        <f>F110*E110*1.18</f>
        <v>5487</v>
      </c>
      <c r="H110" s="15">
        <v>44837</v>
      </c>
      <c r="I110" s="16">
        <v>44837</v>
      </c>
      <c r="J110" s="17" t="s">
        <v>218</v>
      </c>
      <c r="K110" s="18"/>
      <c r="L110" s="18"/>
      <c r="M110" s="18"/>
    </row>
    <row r="111" spans="1:13" s="19" customFormat="1" ht="18.95" customHeight="1" x14ac:dyDescent="0.25">
      <c r="A111" s="4"/>
      <c r="B111" s="4"/>
      <c r="C111" s="10" t="s">
        <v>219</v>
      </c>
      <c r="D111" s="11" t="s">
        <v>16</v>
      </c>
      <c r="E111" s="12">
        <v>8</v>
      </c>
      <c r="F111" s="13">
        <v>1200</v>
      </c>
      <c r="G111" s="14">
        <f>+E111*F111*1.18</f>
        <v>11328</v>
      </c>
      <c r="H111" s="15">
        <v>44354</v>
      </c>
      <c r="I111" s="16">
        <v>44354</v>
      </c>
      <c r="J111" s="17" t="s">
        <v>220</v>
      </c>
      <c r="K111" s="18"/>
      <c r="L111" s="18"/>
      <c r="M111" s="18"/>
    </row>
    <row r="112" spans="1:13" s="19" customFormat="1" ht="18.95" customHeight="1" x14ac:dyDescent="0.25">
      <c r="A112" s="4"/>
      <c r="B112" s="4"/>
      <c r="C112" s="20" t="s">
        <v>221</v>
      </c>
      <c r="D112" s="21" t="s">
        <v>16</v>
      </c>
      <c r="E112" s="22">
        <f>'[1]INVENTARIO MENSUAL'!AY107</f>
        <v>7</v>
      </c>
      <c r="F112" s="13">
        <f>14*1.18</f>
        <v>16.52</v>
      </c>
      <c r="G112" s="14">
        <f>F112*E112</f>
        <v>115.64</v>
      </c>
      <c r="H112" s="15">
        <v>38889</v>
      </c>
      <c r="I112" s="16">
        <v>44931</v>
      </c>
      <c r="J112" s="17" t="s">
        <v>222</v>
      </c>
      <c r="K112" s="18"/>
      <c r="L112" s="18"/>
      <c r="M112" s="18"/>
    </row>
    <row r="113" spans="1:13" s="19" customFormat="1" ht="18.95" customHeight="1" x14ac:dyDescent="0.25">
      <c r="A113" s="4"/>
      <c r="B113" s="4"/>
      <c r="C113" s="20" t="s">
        <v>223</v>
      </c>
      <c r="D113" s="21" t="s">
        <v>16</v>
      </c>
      <c r="E113" s="22">
        <f>'[1]INVENTARIO MENSUAL'!AY108</f>
        <v>131</v>
      </c>
      <c r="F113" s="13">
        <v>9.98</v>
      </c>
      <c r="G113" s="14">
        <f>F113*E113</f>
        <v>1307.3800000000001</v>
      </c>
      <c r="H113" s="15">
        <v>42751</v>
      </c>
      <c r="I113" s="16">
        <v>44327</v>
      </c>
      <c r="J113" s="17" t="s">
        <v>224</v>
      </c>
      <c r="K113" s="18"/>
      <c r="L113" s="18"/>
      <c r="M113" s="18"/>
    </row>
    <row r="114" spans="1:13" s="19" customFormat="1" ht="18.95" customHeight="1" x14ac:dyDescent="0.25">
      <c r="A114" s="4"/>
      <c r="B114" s="4"/>
      <c r="C114" s="20" t="s">
        <v>225</v>
      </c>
      <c r="D114" s="21" t="s">
        <v>34</v>
      </c>
      <c r="E114" s="22">
        <v>325</v>
      </c>
      <c r="F114" s="13">
        <v>90</v>
      </c>
      <c r="G114" s="14">
        <f>+E114*F114*1.18</f>
        <v>34515</v>
      </c>
      <c r="H114" s="15">
        <v>44617</v>
      </c>
      <c r="I114" s="16">
        <v>44617</v>
      </c>
      <c r="J114" s="17" t="s">
        <v>226</v>
      </c>
      <c r="K114" s="18"/>
      <c r="L114" s="18"/>
      <c r="M114" s="18"/>
    </row>
    <row r="115" spans="1:13" s="19" customFormat="1" ht="18.95" customHeight="1" x14ac:dyDescent="0.25">
      <c r="A115" s="4"/>
      <c r="B115" s="4"/>
      <c r="C115" s="10" t="s">
        <v>227</v>
      </c>
      <c r="D115" s="11" t="s">
        <v>16</v>
      </c>
      <c r="E115" s="12">
        <v>0</v>
      </c>
      <c r="F115" s="13">
        <f>8490*1.18</f>
        <v>10018.199999999999</v>
      </c>
      <c r="G115" s="14">
        <f t="shared" ref="G115:G123" si="2">F115*E115</f>
        <v>0</v>
      </c>
      <c r="H115" s="15">
        <v>43192</v>
      </c>
      <c r="I115" s="16">
        <v>44645</v>
      </c>
      <c r="J115" s="17" t="s">
        <v>228</v>
      </c>
      <c r="K115" s="18"/>
      <c r="L115" s="18"/>
      <c r="M115" s="18"/>
    </row>
    <row r="116" spans="1:13" s="19" customFormat="1" ht="18.95" customHeight="1" x14ac:dyDescent="0.25">
      <c r="A116" s="4"/>
      <c r="B116" s="4"/>
      <c r="C116" s="10" t="s">
        <v>229</v>
      </c>
      <c r="D116" s="11" t="s">
        <v>16</v>
      </c>
      <c r="E116" s="12">
        <v>0</v>
      </c>
      <c r="F116" s="13">
        <f>12889*1.18</f>
        <v>15209.019999999999</v>
      </c>
      <c r="G116" s="14">
        <f t="shared" si="2"/>
        <v>0</v>
      </c>
      <c r="H116" s="15">
        <v>43192</v>
      </c>
      <c r="I116" s="16">
        <v>44565</v>
      </c>
      <c r="J116" s="17" t="s">
        <v>230</v>
      </c>
      <c r="K116" s="18"/>
      <c r="L116" s="18"/>
      <c r="M116" s="18"/>
    </row>
    <row r="117" spans="1:13" s="19" customFormat="1" ht="18.95" customHeight="1" x14ac:dyDescent="0.25">
      <c r="A117" s="4"/>
      <c r="B117" s="4"/>
      <c r="C117" s="20" t="s">
        <v>231</v>
      </c>
      <c r="D117" s="21" t="s">
        <v>232</v>
      </c>
      <c r="E117" s="22">
        <f>'[1]INVENTARIO MENSUAL'!AY339</f>
        <v>1793</v>
      </c>
      <c r="F117" s="13">
        <f>103.25*1.18</f>
        <v>121.83499999999999</v>
      </c>
      <c r="G117" s="14">
        <f t="shared" si="2"/>
        <v>218450.155</v>
      </c>
      <c r="H117" s="15">
        <v>43103</v>
      </c>
      <c r="I117" s="16">
        <v>45075</v>
      </c>
      <c r="J117" s="23" t="s">
        <v>233</v>
      </c>
      <c r="K117" s="18"/>
      <c r="L117" s="18"/>
      <c r="M117" s="18"/>
    </row>
    <row r="118" spans="1:13" s="19" customFormat="1" ht="18.95" customHeight="1" x14ac:dyDescent="0.25">
      <c r="A118" s="4"/>
      <c r="B118" s="4"/>
      <c r="C118" s="20" t="s">
        <v>234</v>
      </c>
      <c r="D118" s="21" t="s">
        <v>235</v>
      </c>
      <c r="E118" s="22">
        <f>'[1]INVENTARIO MENSUAL'!AY111</f>
        <v>308</v>
      </c>
      <c r="F118" s="13">
        <f>194.92*1.18</f>
        <v>230.00559999999999</v>
      </c>
      <c r="G118" s="14">
        <f t="shared" si="2"/>
        <v>70841.724799999996</v>
      </c>
      <c r="H118" s="15">
        <v>43159</v>
      </c>
      <c r="I118" s="16">
        <v>45089</v>
      </c>
      <c r="J118" s="17" t="s">
        <v>236</v>
      </c>
      <c r="K118" s="18"/>
      <c r="L118" s="18"/>
      <c r="M118" s="18"/>
    </row>
    <row r="119" spans="1:13" s="19" customFormat="1" ht="18.95" customHeight="1" x14ac:dyDescent="0.25">
      <c r="A119" s="4"/>
      <c r="B119" s="4"/>
      <c r="C119" s="10" t="s">
        <v>237</v>
      </c>
      <c r="D119" s="11" t="s">
        <v>235</v>
      </c>
      <c r="E119" s="12">
        <f>'[1]INVENTARIO MENSUAL'!AY112</f>
        <v>2</v>
      </c>
      <c r="F119" s="13">
        <v>150</v>
      </c>
      <c r="G119" s="35">
        <f t="shared" si="2"/>
        <v>300</v>
      </c>
      <c r="H119" s="15">
        <v>42822</v>
      </c>
      <c r="I119" s="16">
        <v>42822</v>
      </c>
      <c r="J119" s="17" t="s">
        <v>238</v>
      </c>
      <c r="K119" s="18"/>
      <c r="L119" s="18"/>
      <c r="M119" s="18"/>
    </row>
    <row r="120" spans="1:13" s="19" customFormat="1" ht="18.95" customHeight="1" x14ac:dyDescent="0.25">
      <c r="A120" s="4"/>
      <c r="B120" s="4"/>
      <c r="C120" s="10" t="s">
        <v>239</v>
      </c>
      <c r="D120" s="11" t="s">
        <v>235</v>
      </c>
      <c r="E120" s="12">
        <f>'[1]INVENTARIO MENSUAL'!AY113</f>
        <v>1</v>
      </c>
      <c r="F120" s="13">
        <v>196</v>
      </c>
      <c r="G120" s="14">
        <f t="shared" si="2"/>
        <v>196</v>
      </c>
      <c r="H120" s="15">
        <v>42822</v>
      </c>
      <c r="I120" s="16">
        <v>43391</v>
      </c>
      <c r="J120" s="23" t="s">
        <v>240</v>
      </c>
      <c r="K120" s="18"/>
      <c r="L120" s="18"/>
      <c r="M120" s="18"/>
    </row>
    <row r="121" spans="1:13" s="19" customFormat="1" ht="18.95" customHeight="1" x14ac:dyDescent="0.25">
      <c r="A121" s="4"/>
      <c r="B121" s="4"/>
      <c r="C121" s="10" t="s">
        <v>241</v>
      </c>
      <c r="D121" s="11" t="s">
        <v>235</v>
      </c>
      <c r="E121" s="12">
        <f>'[1]INVENTARIO MENSUAL'!AY110</f>
        <v>0</v>
      </c>
      <c r="F121" s="13">
        <v>318</v>
      </c>
      <c r="G121" s="14">
        <f t="shared" si="2"/>
        <v>0</v>
      </c>
      <c r="H121" s="15">
        <v>42482</v>
      </c>
      <c r="I121" s="16">
        <v>42881</v>
      </c>
      <c r="J121" s="23" t="s">
        <v>242</v>
      </c>
      <c r="K121" s="18"/>
      <c r="L121" s="18"/>
      <c r="M121" s="18"/>
    </row>
    <row r="122" spans="1:13" s="19" customFormat="1" ht="18.95" customHeight="1" x14ac:dyDescent="0.25">
      <c r="A122" s="4"/>
      <c r="B122" s="4"/>
      <c r="C122" s="10" t="s">
        <v>243</v>
      </c>
      <c r="D122" s="11" t="s">
        <v>232</v>
      </c>
      <c r="E122" s="12">
        <f>'[1]INVENTARIO MENSUAL'!AY118</f>
        <v>13</v>
      </c>
      <c r="F122" s="13">
        <f>16*1.18</f>
        <v>18.88</v>
      </c>
      <c r="G122" s="14">
        <f t="shared" si="2"/>
        <v>245.44</v>
      </c>
      <c r="H122" s="15">
        <v>42751</v>
      </c>
      <c r="I122" s="16">
        <v>44931</v>
      </c>
      <c r="J122" s="23" t="s">
        <v>244</v>
      </c>
      <c r="K122" s="18"/>
      <c r="L122" s="18"/>
      <c r="M122" s="18"/>
    </row>
    <row r="123" spans="1:13" s="19" customFormat="1" ht="18.95" customHeight="1" x14ac:dyDescent="0.25">
      <c r="A123" s="4"/>
      <c r="B123" s="4"/>
      <c r="C123" s="10" t="s">
        <v>245</v>
      </c>
      <c r="D123" s="21" t="s">
        <v>232</v>
      </c>
      <c r="E123" s="12">
        <f>'[1]INVENTARIO MENSUAL'!AY340</f>
        <v>1346</v>
      </c>
      <c r="F123" s="13">
        <f>245.83*1.18</f>
        <v>290.07940000000002</v>
      </c>
      <c r="G123" s="14">
        <f t="shared" si="2"/>
        <v>390446.87240000005</v>
      </c>
      <c r="H123" s="15">
        <v>41397</v>
      </c>
      <c r="I123" s="16">
        <v>45075</v>
      </c>
      <c r="J123" s="17" t="s">
        <v>246</v>
      </c>
      <c r="K123" s="18"/>
      <c r="L123" s="18"/>
      <c r="M123" s="18"/>
    </row>
    <row r="124" spans="1:13" s="19" customFormat="1" ht="18.95" customHeight="1" x14ac:dyDescent="0.25">
      <c r="A124" s="4"/>
      <c r="B124" s="4"/>
      <c r="C124" s="20" t="s">
        <v>247</v>
      </c>
      <c r="D124" s="21" t="s">
        <v>16</v>
      </c>
      <c r="E124" s="22">
        <f>'[1]INVENTARIO MENSUAL'!AY122</f>
        <v>532</v>
      </c>
      <c r="F124" s="13">
        <f>(412*1.18)/25</f>
        <v>19.446399999999997</v>
      </c>
      <c r="G124" s="14">
        <f>E124*F124</f>
        <v>10345.484799999998</v>
      </c>
      <c r="H124" s="15">
        <v>42865</v>
      </c>
      <c r="I124" s="16">
        <v>44893</v>
      </c>
      <c r="J124" s="17" t="s">
        <v>248</v>
      </c>
      <c r="K124" s="18"/>
      <c r="L124" s="18"/>
      <c r="M124" s="18"/>
    </row>
    <row r="125" spans="1:13" s="19" customFormat="1" ht="18.95" customHeight="1" x14ac:dyDescent="0.25">
      <c r="A125" s="4"/>
      <c r="B125" s="4"/>
      <c r="C125" s="20" t="s">
        <v>249</v>
      </c>
      <c r="D125" s="21" t="s">
        <v>16</v>
      </c>
      <c r="E125" s="22">
        <f>'[1]INVENTARIO MENSUAL'!AY123</f>
        <v>700</v>
      </c>
      <c r="F125" s="13">
        <v>20.16</v>
      </c>
      <c r="G125" s="14">
        <f>F125*E125</f>
        <v>14112</v>
      </c>
      <c r="H125" s="15">
        <v>42748</v>
      </c>
      <c r="I125" s="16">
        <v>44326</v>
      </c>
      <c r="J125" s="23" t="s">
        <v>250</v>
      </c>
      <c r="K125" s="18"/>
      <c r="L125" s="18"/>
      <c r="M125" s="18"/>
    </row>
    <row r="126" spans="1:13" s="19" customFormat="1" ht="18.95" customHeight="1" x14ac:dyDescent="0.25">
      <c r="A126" s="4"/>
      <c r="B126" s="4"/>
      <c r="C126" s="10" t="s">
        <v>251</v>
      </c>
      <c r="D126" s="11" t="s">
        <v>16</v>
      </c>
      <c r="E126" s="12">
        <f>'[1]INVENTARIO MENSUAL'!AY124</f>
        <v>36</v>
      </c>
      <c r="F126" s="13">
        <f>179*1.18</f>
        <v>211.22</v>
      </c>
      <c r="G126" s="14">
        <f>F126*E126</f>
        <v>7603.92</v>
      </c>
      <c r="H126" s="15">
        <v>43133</v>
      </c>
      <c r="I126" s="16">
        <v>44931</v>
      </c>
      <c r="J126" s="23" t="s">
        <v>252</v>
      </c>
      <c r="K126" s="18"/>
      <c r="L126" s="18"/>
      <c r="M126" s="18"/>
    </row>
    <row r="127" spans="1:13" s="19" customFormat="1" ht="18.95" customHeight="1" x14ac:dyDescent="0.25">
      <c r="A127" s="4"/>
      <c r="B127" s="4"/>
      <c r="C127" s="20" t="s">
        <v>253</v>
      </c>
      <c r="D127" s="21" t="s">
        <v>16</v>
      </c>
      <c r="E127" s="22">
        <v>108</v>
      </c>
      <c r="F127" s="13">
        <f>505.08*1.18</f>
        <v>595.99439999999993</v>
      </c>
      <c r="G127" s="14">
        <f>E127*F127</f>
        <v>64367.395199999992</v>
      </c>
      <c r="H127" s="15">
        <v>43133</v>
      </c>
      <c r="I127" s="16">
        <v>44931</v>
      </c>
      <c r="J127" s="23" t="s">
        <v>254</v>
      </c>
      <c r="K127" s="18"/>
      <c r="L127" s="18"/>
      <c r="M127" s="18"/>
    </row>
    <row r="128" spans="1:13" s="19" customFormat="1" ht="18.95" customHeight="1" x14ac:dyDescent="0.25">
      <c r="A128" s="4"/>
      <c r="B128" s="4"/>
      <c r="C128" s="20" t="s">
        <v>253</v>
      </c>
      <c r="D128" s="21" t="s">
        <v>16</v>
      </c>
      <c r="E128" s="22">
        <v>25</v>
      </c>
      <c r="F128" s="13">
        <f>190*1.18</f>
        <v>224.2</v>
      </c>
      <c r="G128" s="14">
        <f>E128*F128</f>
        <v>5605</v>
      </c>
      <c r="H128" s="15">
        <v>44931</v>
      </c>
      <c r="I128" s="16">
        <v>44931</v>
      </c>
      <c r="J128" s="23" t="s">
        <v>255</v>
      </c>
      <c r="K128" s="18"/>
      <c r="L128" s="18"/>
      <c r="M128" s="18"/>
    </row>
    <row r="129" spans="1:13" s="19" customFormat="1" ht="18.95" customHeight="1" x14ac:dyDescent="0.25">
      <c r="A129" s="4"/>
      <c r="B129" s="4"/>
      <c r="C129" s="20" t="s">
        <v>256</v>
      </c>
      <c r="D129" s="21" t="s">
        <v>16</v>
      </c>
      <c r="E129" s="22">
        <f>'[1]INVENTARIO MENSUAL'!AY341</f>
        <v>245</v>
      </c>
      <c r="F129" s="13">
        <f>37.17*1.18</f>
        <v>43.860599999999998</v>
      </c>
      <c r="G129" s="14">
        <f>F129*E129</f>
        <v>10745.847</v>
      </c>
      <c r="H129" s="15">
        <v>42766</v>
      </c>
      <c r="I129" s="16">
        <v>45075</v>
      </c>
      <c r="J129" s="17" t="s">
        <v>257</v>
      </c>
      <c r="K129" s="18"/>
      <c r="L129" s="18"/>
      <c r="M129" s="18"/>
    </row>
    <row r="130" spans="1:13" s="19" customFormat="1" ht="18.95" customHeight="1" x14ac:dyDescent="0.25">
      <c r="A130" s="4"/>
      <c r="B130" s="4"/>
      <c r="C130" s="20" t="s">
        <v>258</v>
      </c>
      <c r="D130" s="21" t="s">
        <v>16</v>
      </c>
      <c r="E130" s="21">
        <f>'[1]INVENTARIO MENSUAL'!AY130</f>
        <v>11</v>
      </c>
      <c r="F130" s="13">
        <v>525</v>
      </c>
      <c r="G130" s="14">
        <f>E130*F130</f>
        <v>5775</v>
      </c>
      <c r="H130" s="15">
        <v>38846</v>
      </c>
      <c r="I130" s="16">
        <v>44327</v>
      </c>
      <c r="J130" s="23" t="s">
        <v>259</v>
      </c>
      <c r="K130" s="18"/>
      <c r="L130" s="18"/>
      <c r="M130" s="18"/>
    </row>
    <row r="131" spans="1:13" s="19" customFormat="1" ht="18.95" customHeight="1" x14ac:dyDescent="0.25">
      <c r="A131" s="4"/>
      <c r="B131" s="4"/>
      <c r="C131" s="10" t="s">
        <v>260</v>
      </c>
      <c r="D131" s="11" t="s">
        <v>16</v>
      </c>
      <c r="E131" s="12">
        <f>'[1]INVENTARIO MENSUAL'!AY129</f>
        <v>8</v>
      </c>
      <c r="F131" s="13">
        <v>436</v>
      </c>
      <c r="G131" s="14">
        <f>F131*E131</f>
        <v>3488</v>
      </c>
      <c r="H131" s="15">
        <v>42880</v>
      </c>
      <c r="I131" s="16">
        <v>43217</v>
      </c>
      <c r="J131" s="23" t="s">
        <v>261</v>
      </c>
      <c r="K131" s="18"/>
      <c r="L131" s="18"/>
      <c r="M131" s="18"/>
    </row>
    <row r="132" spans="1:13" s="19" customFormat="1" ht="18.95" customHeight="1" x14ac:dyDescent="0.25">
      <c r="A132" s="4"/>
      <c r="B132" s="4"/>
      <c r="C132" s="10" t="s">
        <v>262</v>
      </c>
      <c r="D132" s="11" t="s">
        <v>16</v>
      </c>
      <c r="E132" s="12">
        <f>'[1]INVENTARIO MENSUAL'!AY131</f>
        <v>34</v>
      </c>
      <c r="F132" s="13">
        <f>35.6*1.18</f>
        <v>42.008000000000003</v>
      </c>
      <c r="G132" s="14">
        <f>F132*E132</f>
        <v>1428.2720000000002</v>
      </c>
      <c r="H132" s="15">
        <v>42751</v>
      </c>
      <c r="I132" s="16">
        <v>44893</v>
      </c>
      <c r="J132" s="17" t="s">
        <v>263</v>
      </c>
      <c r="K132" s="18"/>
      <c r="L132" s="18"/>
      <c r="M132" s="18"/>
    </row>
    <row r="133" spans="1:13" s="19" customFormat="1" ht="18.95" customHeight="1" x14ac:dyDescent="0.25">
      <c r="A133" s="4"/>
      <c r="B133" s="4"/>
      <c r="C133" s="20" t="s">
        <v>264</v>
      </c>
      <c r="D133" s="21" t="s">
        <v>16</v>
      </c>
      <c r="E133" s="22">
        <v>72</v>
      </c>
      <c r="F133" s="13">
        <f>60.4*1.18</f>
        <v>71.271999999999991</v>
      </c>
      <c r="G133" s="14">
        <f>F133*E133</f>
        <v>5131.5839999999989</v>
      </c>
      <c r="H133" s="15">
        <v>41484</v>
      </c>
      <c r="I133" s="16">
        <v>44953</v>
      </c>
      <c r="J133" s="17" t="s">
        <v>265</v>
      </c>
      <c r="K133" s="18"/>
      <c r="L133" s="18"/>
      <c r="M133" s="18"/>
    </row>
    <row r="134" spans="1:13" s="19" customFormat="1" ht="18.95" customHeight="1" x14ac:dyDescent="0.25">
      <c r="A134" s="4"/>
      <c r="B134" s="4"/>
      <c r="C134" s="20" t="s">
        <v>266</v>
      </c>
      <c r="D134" s="21" t="s">
        <v>16</v>
      </c>
      <c r="E134" s="22">
        <f>'[1]INVENTARIO MENSUAL'!AY133</f>
        <v>0</v>
      </c>
      <c r="F134" s="13">
        <v>34.22</v>
      </c>
      <c r="G134" s="14">
        <f>E134*F134</f>
        <v>0</v>
      </c>
      <c r="H134" s="15">
        <v>43056</v>
      </c>
      <c r="I134" s="16">
        <v>44893</v>
      </c>
      <c r="J134" s="23" t="s">
        <v>267</v>
      </c>
      <c r="K134" s="18"/>
      <c r="L134" s="18"/>
      <c r="M134" s="18"/>
    </row>
    <row r="135" spans="1:13" s="19" customFormat="1" ht="18.95" customHeight="1" x14ac:dyDescent="0.25">
      <c r="A135" s="4"/>
      <c r="B135" s="4"/>
      <c r="C135" s="20" t="s">
        <v>268</v>
      </c>
      <c r="D135" s="21" t="s">
        <v>27</v>
      </c>
      <c r="E135" s="12">
        <f>'[1]INVENTARIO MENSUAL'!AY134</f>
        <v>712</v>
      </c>
      <c r="F135" s="13">
        <f>125*1.18</f>
        <v>147.5</v>
      </c>
      <c r="G135" s="14">
        <f t="shared" ref="G135:G145" si="3">F135*E135</f>
        <v>105020</v>
      </c>
      <c r="H135" s="36" t="s">
        <v>269</v>
      </c>
      <c r="I135" s="16">
        <v>44650</v>
      </c>
      <c r="J135" s="23" t="s">
        <v>270</v>
      </c>
      <c r="K135" s="18"/>
      <c r="L135" s="18"/>
      <c r="M135" s="18"/>
    </row>
    <row r="136" spans="1:13" s="19" customFormat="1" ht="18.95" customHeight="1" x14ac:dyDescent="0.25">
      <c r="A136" s="4"/>
      <c r="B136" s="4"/>
      <c r="C136" s="20" t="s">
        <v>271</v>
      </c>
      <c r="D136" s="21" t="s">
        <v>16</v>
      </c>
      <c r="E136" s="22">
        <f>'[1]INVENTARIO MENSUAL'!AY352</f>
        <v>93</v>
      </c>
      <c r="F136" s="13">
        <f>79.5*1.18</f>
        <v>93.809999999999988</v>
      </c>
      <c r="G136" s="14">
        <f t="shared" si="3"/>
        <v>8724.3299999999981</v>
      </c>
      <c r="H136" s="15">
        <v>39540</v>
      </c>
      <c r="I136" s="16">
        <v>44650</v>
      </c>
      <c r="J136" s="17" t="s">
        <v>272</v>
      </c>
      <c r="K136" s="18"/>
      <c r="L136" s="18"/>
      <c r="M136" s="18"/>
    </row>
    <row r="137" spans="1:13" s="19" customFormat="1" ht="18.95" customHeight="1" x14ac:dyDescent="0.25">
      <c r="A137" s="4"/>
      <c r="B137" s="4"/>
      <c r="C137" s="20" t="s">
        <v>273</v>
      </c>
      <c r="D137" s="21" t="s">
        <v>16</v>
      </c>
      <c r="E137" s="22">
        <f>'[1]INVENTARIO MENSUAL'!AY135</f>
        <v>2</v>
      </c>
      <c r="F137" s="13">
        <f>5.1*1.18</f>
        <v>6.0179999999999989</v>
      </c>
      <c r="G137" s="14">
        <f>F137*E137</f>
        <v>12.035999999999998</v>
      </c>
      <c r="H137" s="15">
        <v>44551</v>
      </c>
      <c r="I137" s="16">
        <v>44893</v>
      </c>
      <c r="J137" s="17" t="s">
        <v>274</v>
      </c>
      <c r="K137" s="18"/>
      <c r="L137" s="18"/>
      <c r="M137" s="18"/>
    </row>
    <row r="138" spans="1:13" s="19" customFormat="1" ht="18.95" customHeight="1" x14ac:dyDescent="0.25">
      <c r="A138" s="4"/>
      <c r="B138" s="4"/>
      <c r="C138" s="20" t="s">
        <v>275</v>
      </c>
      <c r="D138" s="21" t="s">
        <v>13</v>
      </c>
      <c r="E138" s="22">
        <f>+'[1]INVENTARIO MENSUAL'!AY353</f>
        <v>56</v>
      </c>
      <c r="F138" s="13">
        <v>205</v>
      </c>
      <c r="G138" s="14">
        <f>+E138*F138*1.18</f>
        <v>13546.4</v>
      </c>
      <c r="H138" s="15">
        <v>44893</v>
      </c>
      <c r="I138" s="16">
        <v>45089</v>
      </c>
      <c r="J138" s="17" t="s">
        <v>276</v>
      </c>
      <c r="K138" s="18"/>
      <c r="L138" s="18"/>
      <c r="M138" s="18"/>
    </row>
    <row r="139" spans="1:13" s="19" customFormat="1" ht="18.75" customHeight="1" x14ac:dyDescent="0.25">
      <c r="A139" s="4"/>
      <c r="B139" s="4"/>
      <c r="C139" s="20" t="s">
        <v>277</v>
      </c>
      <c r="D139" s="21" t="s">
        <v>16</v>
      </c>
      <c r="E139" s="22">
        <f>'[1]INVENTARIO MENSUAL'!AY136</f>
        <v>1</v>
      </c>
      <c r="F139" s="13">
        <f>168*1.18</f>
        <v>198.23999999999998</v>
      </c>
      <c r="G139" s="14">
        <f t="shared" si="3"/>
        <v>198.23999999999998</v>
      </c>
      <c r="H139" s="15">
        <v>42751</v>
      </c>
      <c r="I139" s="16">
        <v>44931</v>
      </c>
      <c r="J139" s="17" t="s">
        <v>255</v>
      </c>
      <c r="K139" s="18"/>
      <c r="L139" s="18"/>
      <c r="M139" s="18"/>
    </row>
    <row r="140" spans="1:13" s="19" customFormat="1" ht="18.95" customHeight="1" x14ac:dyDescent="0.25">
      <c r="A140" s="4"/>
      <c r="B140" s="4"/>
      <c r="C140" s="20" t="s">
        <v>278</v>
      </c>
      <c r="D140" s="21" t="s">
        <v>16</v>
      </c>
      <c r="E140" s="22">
        <f>'[1]INVENTARIO MENSUAL'!AY138</f>
        <v>0</v>
      </c>
      <c r="F140" s="13">
        <v>19.5</v>
      </c>
      <c r="G140" s="14">
        <f t="shared" si="3"/>
        <v>0</v>
      </c>
      <c r="H140" s="15">
        <v>38688</v>
      </c>
      <c r="I140" s="16">
        <v>44453</v>
      </c>
      <c r="J140" s="17" t="s">
        <v>279</v>
      </c>
      <c r="K140" s="18"/>
      <c r="L140" s="18"/>
      <c r="M140" s="18"/>
    </row>
    <row r="141" spans="1:13" s="19" customFormat="1" ht="18.95" customHeight="1" x14ac:dyDescent="0.25">
      <c r="A141" s="4"/>
      <c r="B141" s="4"/>
      <c r="C141" s="20" t="s">
        <v>280</v>
      </c>
      <c r="D141" s="21" t="s">
        <v>16</v>
      </c>
      <c r="E141" s="22">
        <f>'[1]INVENTARIO MENSUAL'!AY139</f>
        <v>6</v>
      </c>
      <c r="F141" s="13">
        <v>945</v>
      </c>
      <c r="G141" s="14">
        <f t="shared" si="3"/>
        <v>5670</v>
      </c>
      <c r="H141" s="15">
        <v>42975</v>
      </c>
      <c r="I141" s="16">
        <v>44327</v>
      </c>
      <c r="J141" s="17" t="s">
        <v>281</v>
      </c>
      <c r="K141" s="18"/>
      <c r="L141" s="18"/>
      <c r="M141" s="18"/>
    </row>
    <row r="142" spans="1:13" s="19" customFormat="1" ht="18.95" customHeight="1" x14ac:dyDescent="0.25">
      <c r="A142" s="4"/>
      <c r="B142" s="4"/>
      <c r="C142" s="20" t="s">
        <v>282</v>
      </c>
      <c r="D142" s="21" t="s">
        <v>27</v>
      </c>
      <c r="E142" s="22">
        <f>'[1]INVENTARIO MENSUAL'!AY354</f>
        <v>467</v>
      </c>
      <c r="F142" s="13">
        <f>94.4*1.18</f>
        <v>111.392</v>
      </c>
      <c r="G142" s="14">
        <f t="shared" si="3"/>
        <v>52020.063999999998</v>
      </c>
      <c r="H142" s="15">
        <v>42979</v>
      </c>
      <c r="I142" s="16">
        <v>45075</v>
      </c>
      <c r="J142" s="23" t="s">
        <v>283</v>
      </c>
      <c r="K142" s="18"/>
      <c r="L142" s="18"/>
      <c r="M142" s="18"/>
    </row>
    <row r="143" spans="1:13" s="19" customFormat="1" ht="18.95" customHeight="1" x14ac:dyDescent="0.25">
      <c r="A143" s="4"/>
      <c r="B143" s="4"/>
      <c r="C143" s="20" t="s">
        <v>284</v>
      </c>
      <c r="D143" s="21" t="s">
        <v>16</v>
      </c>
      <c r="E143" s="22">
        <f>'[1]INVENTARIO MENSUAL'!AY149</f>
        <v>2484</v>
      </c>
      <c r="F143" s="13">
        <f>1.2*1.18</f>
        <v>1.4159999999999999</v>
      </c>
      <c r="G143" s="14">
        <f t="shared" si="3"/>
        <v>3517.3439999999996</v>
      </c>
      <c r="H143" s="15">
        <v>42853</v>
      </c>
      <c r="I143" s="16">
        <v>44931</v>
      </c>
      <c r="J143" s="17" t="s">
        <v>285</v>
      </c>
      <c r="K143" s="18"/>
      <c r="L143" s="18"/>
      <c r="M143" s="18"/>
    </row>
    <row r="144" spans="1:13" s="19" customFormat="1" ht="18.95" customHeight="1" x14ac:dyDescent="0.25">
      <c r="A144" s="4"/>
      <c r="B144" s="4"/>
      <c r="C144" s="20" t="s">
        <v>286</v>
      </c>
      <c r="D144" s="21" t="s">
        <v>16</v>
      </c>
      <c r="E144" s="22">
        <f>'[1]INVENTARIO MENSUAL'!AY146</f>
        <v>0</v>
      </c>
      <c r="F144" s="13">
        <f>5.51*1.18</f>
        <v>6.5017999999999994</v>
      </c>
      <c r="G144" s="14">
        <f t="shared" si="3"/>
        <v>0</v>
      </c>
      <c r="H144" s="15">
        <v>42832</v>
      </c>
      <c r="I144" s="16">
        <v>44551</v>
      </c>
      <c r="J144" s="17" t="s">
        <v>287</v>
      </c>
      <c r="K144" s="18"/>
      <c r="L144" s="18"/>
      <c r="M144" s="18"/>
    </row>
    <row r="145" spans="1:13" s="19" customFormat="1" ht="18.95" customHeight="1" x14ac:dyDescent="0.25">
      <c r="A145" s="4"/>
      <c r="B145" s="4"/>
      <c r="C145" s="20" t="s">
        <v>288</v>
      </c>
      <c r="D145" s="21" t="s">
        <v>16</v>
      </c>
      <c r="E145" s="22">
        <f>'[1]INVENTARIO MENSUAL'!AY150</f>
        <v>0</v>
      </c>
      <c r="F145" s="13">
        <v>3.72</v>
      </c>
      <c r="G145" s="14">
        <f t="shared" si="3"/>
        <v>0</v>
      </c>
      <c r="H145" s="15">
        <v>42832</v>
      </c>
      <c r="I145" s="16">
        <v>44453</v>
      </c>
      <c r="J145" s="17" t="s">
        <v>289</v>
      </c>
      <c r="K145" s="18"/>
      <c r="L145" s="18"/>
      <c r="M145" s="18"/>
    </row>
    <row r="146" spans="1:13" s="19" customFormat="1" ht="18.95" customHeight="1" x14ac:dyDescent="0.25">
      <c r="A146" s="4"/>
      <c r="B146" s="4"/>
      <c r="C146" s="20" t="s">
        <v>290</v>
      </c>
      <c r="D146" s="21" t="s">
        <v>16</v>
      </c>
      <c r="E146" s="22">
        <f>'[1]INVENTARIO MENSUAL'!AY148</f>
        <v>1650</v>
      </c>
      <c r="F146" s="13">
        <f>2.54*1.18</f>
        <v>2.9971999999999999</v>
      </c>
      <c r="G146" s="14">
        <f>E146*F146</f>
        <v>4945.38</v>
      </c>
      <c r="H146" s="15">
        <v>38672</v>
      </c>
      <c r="I146" s="16">
        <v>44893</v>
      </c>
      <c r="J146" s="17" t="s">
        <v>291</v>
      </c>
      <c r="K146" s="18"/>
      <c r="L146" s="18"/>
      <c r="M146" s="18"/>
    </row>
    <row r="147" spans="1:13" s="19" customFormat="1" ht="18.95" customHeight="1" x14ac:dyDescent="0.25">
      <c r="A147" s="4"/>
      <c r="B147" s="4"/>
      <c r="C147" s="20" t="s">
        <v>292</v>
      </c>
      <c r="D147" s="21" t="s">
        <v>16</v>
      </c>
      <c r="E147" s="22">
        <f>'[1]INVENTARIO MENSUAL'!AY355</f>
        <v>95</v>
      </c>
      <c r="F147" s="13">
        <f>128.19*1.18</f>
        <v>151.26419999999999</v>
      </c>
      <c r="G147" s="14">
        <f>F147*E147</f>
        <v>14370.098999999998</v>
      </c>
      <c r="H147" s="15">
        <v>38672</v>
      </c>
      <c r="I147" s="16">
        <v>45084</v>
      </c>
      <c r="J147" s="17" t="s">
        <v>293</v>
      </c>
      <c r="K147" s="18"/>
      <c r="L147" s="18"/>
      <c r="M147" s="18"/>
    </row>
    <row r="148" spans="1:13" s="19" customFormat="1" ht="18.95" customHeight="1" x14ac:dyDescent="0.25">
      <c r="A148" s="4"/>
      <c r="B148" s="4"/>
      <c r="C148" s="24" t="s">
        <v>294</v>
      </c>
      <c r="D148" s="25" t="s">
        <v>16</v>
      </c>
      <c r="E148" s="12">
        <v>0</v>
      </c>
      <c r="F148" s="13">
        <v>2399</v>
      </c>
      <c r="G148" s="14">
        <f>F148*E148</f>
        <v>0</v>
      </c>
      <c r="H148" s="15">
        <v>42618</v>
      </c>
      <c r="I148" s="16">
        <v>44406</v>
      </c>
      <c r="J148" s="23" t="s">
        <v>295</v>
      </c>
      <c r="K148" s="18"/>
      <c r="L148" s="18"/>
      <c r="M148" s="18"/>
    </row>
    <row r="149" spans="1:13" s="19" customFormat="1" ht="18.95" customHeight="1" x14ac:dyDescent="0.25">
      <c r="A149" s="4"/>
      <c r="B149" s="4"/>
      <c r="C149" s="10" t="s">
        <v>296</v>
      </c>
      <c r="D149" s="11" t="s">
        <v>27</v>
      </c>
      <c r="E149" s="12">
        <f>'[1]INVENTARIO MENSUAL'!AY359</f>
        <v>194</v>
      </c>
      <c r="F149" s="37">
        <v>21.625</v>
      </c>
      <c r="G149" s="14">
        <f>E149*F149*1.18</f>
        <v>4950.3949999999995</v>
      </c>
      <c r="H149" s="15">
        <v>41422</v>
      </c>
      <c r="I149" s="16">
        <v>45084</v>
      </c>
      <c r="J149" s="17" t="s">
        <v>297</v>
      </c>
      <c r="K149" s="18"/>
      <c r="L149" s="18"/>
      <c r="M149" s="18"/>
    </row>
    <row r="150" spans="1:13" s="19" customFormat="1" ht="18.95" customHeight="1" x14ac:dyDescent="0.25">
      <c r="A150" s="4"/>
      <c r="B150" s="4"/>
      <c r="C150" s="10" t="s">
        <v>298</v>
      </c>
      <c r="D150" s="11" t="s">
        <v>16</v>
      </c>
      <c r="E150" s="12">
        <f>'[1]INVENTARIO MENSUAL'!AY155</f>
        <v>0</v>
      </c>
      <c r="F150" s="13">
        <f>33*1.18</f>
        <v>38.94</v>
      </c>
      <c r="G150" s="14">
        <f>E150*F150</f>
        <v>0</v>
      </c>
      <c r="H150" s="15">
        <v>44551</v>
      </c>
      <c r="I150" s="16">
        <v>44931</v>
      </c>
      <c r="J150" s="17" t="s">
        <v>299</v>
      </c>
      <c r="K150" s="18"/>
      <c r="L150" s="18"/>
      <c r="M150" s="18"/>
    </row>
    <row r="151" spans="1:13" s="19" customFormat="1" ht="18.95" customHeight="1" x14ac:dyDescent="0.25">
      <c r="A151" s="4"/>
      <c r="B151" s="4"/>
      <c r="C151" s="20" t="s">
        <v>300</v>
      </c>
      <c r="D151" s="21" t="s">
        <v>16</v>
      </c>
      <c r="E151" s="22">
        <f>'[1]INVENTARIO MENSUAL'!AY156</f>
        <v>1</v>
      </c>
      <c r="F151" s="13">
        <f>25.25*1.18</f>
        <v>29.794999999999998</v>
      </c>
      <c r="G151" s="14">
        <f>F151*E151</f>
        <v>29.794999999999998</v>
      </c>
      <c r="H151" s="15">
        <v>42984</v>
      </c>
      <c r="I151" s="16">
        <v>44953</v>
      </c>
      <c r="J151" s="17" t="s">
        <v>301</v>
      </c>
      <c r="K151" s="18"/>
      <c r="L151" s="18"/>
      <c r="M151" s="18"/>
    </row>
    <row r="152" spans="1:13" s="19" customFormat="1" ht="18.95" customHeight="1" x14ac:dyDescent="0.25">
      <c r="A152" s="4"/>
      <c r="B152" s="4"/>
      <c r="C152" s="10" t="s">
        <v>302</v>
      </c>
      <c r="D152" s="11" t="s">
        <v>16</v>
      </c>
      <c r="E152" s="22">
        <f>'[1]INVENTARIO MENSUAL'!AY157</f>
        <v>41</v>
      </c>
      <c r="F152" s="13">
        <v>25</v>
      </c>
      <c r="G152" s="14">
        <f>E152*F152</f>
        <v>1025</v>
      </c>
      <c r="H152" s="15">
        <v>42752</v>
      </c>
      <c r="I152" s="16">
        <v>43714</v>
      </c>
      <c r="J152" s="17" t="s">
        <v>303</v>
      </c>
      <c r="K152" s="18"/>
      <c r="L152" s="18"/>
      <c r="M152" s="18"/>
    </row>
    <row r="153" spans="1:13" s="19" customFormat="1" ht="18.95" customHeight="1" x14ac:dyDescent="0.25">
      <c r="A153" s="4"/>
      <c r="B153" s="4"/>
      <c r="C153" s="20" t="s">
        <v>304</v>
      </c>
      <c r="D153" s="21" t="s">
        <v>16</v>
      </c>
      <c r="E153" s="22">
        <f>'[1]INVENTARIO MENSUAL'!AY361</f>
        <v>32</v>
      </c>
      <c r="F153" s="13">
        <f>38*1.18</f>
        <v>44.839999999999996</v>
      </c>
      <c r="G153" s="14">
        <f t="shared" ref="G153:G160" si="4">F153*E153</f>
        <v>1434.8799999999999</v>
      </c>
      <c r="H153" s="15">
        <v>43159</v>
      </c>
      <c r="I153" s="16">
        <v>45075</v>
      </c>
      <c r="J153" s="17" t="s">
        <v>305</v>
      </c>
      <c r="K153" s="18"/>
      <c r="L153" s="18"/>
      <c r="M153" s="18"/>
    </row>
    <row r="154" spans="1:13" s="19" customFormat="1" ht="18.95" customHeight="1" x14ac:dyDescent="0.25">
      <c r="A154" s="4"/>
      <c r="B154" s="4"/>
      <c r="C154" s="20" t="s">
        <v>306</v>
      </c>
      <c r="D154" s="21" t="s">
        <v>16</v>
      </c>
      <c r="E154" s="22">
        <f>'[1]INVENTARIO MENSUAL'!AY197</f>
        <v>0</v>
      </c>
      <c r="F154" s="13">
        <v>4165.21</v>
      </c>
      <c r="G154" s="14">
        <f t="shared" si="4"/>
        <v>0</v>
      </c>
      <c r="H154" s="15">
        <v>42751</v>
      </c>
      <c r="I154" s="16">
        <v>44579</v>
      </c>
      <c r="J154" s="17" t="s">
        <v>307</v>
      </c>
      <c r="K154" s="18"/>
      <c r="L154" s="18"/>
      <c r="M154" s="18"/>
    </row>
    <row r="155" spans="1:13" s="19" customFormat="1" ht="18.95" customHeight="1" x14ac:dyDescent="0.25">
      <c r="A155" s="4"/>
      <c r="B155" s="4"/>
      <c r="C155" s="10" t="s">
        <v>308</v>
      </c>
      <c r="D155" s="11" t="s">
        <v>16</v>
      </c>
      <c r="E155" s="12">
        <f>'[1]INVENTARIO MENSUAL'!AY195</f>
        <v>5</v>
      </c>
      <c r="F155" s="13">
        <v>4695</v>
      </c>
      <c r="G155" s="14">
        <f t="shared" si="4"/>
        <v>23475</v>
      </c>
      <c r="H155" s="15">
        <v>42751</v>
      </c>
      <c r="I155" s="16">
        <v>43768</v>
      </c>
      <c r="J155" s="17" t="s">
        <v>309</v>
      </c>
      <c r="K155" s="18"/>
      <c r="L155" s="18"/>
      <c r="M155" s="18"/>
    </row>
    <row r="156" spans="1:13" s="19" customFormat="1" ht="18.95" customHeight="1" x14ac:dyDescent="0.25">
      <c r="A156" s="4"/>
      <c r="B156" s="4"/>
      <c r="C156" s="10" t="s">
        <v>310</v>
      </c>
      <c r="D156" s="11" t="s">
        <v>16</v>
      </c>
      <c r="E156" s="12">
        <f>'[1]INVENTARIO MENSUAL'!AY196</f>
        <v>18</v>
      </c>
      <c r="F156" s="13">
        <v>4695</v>
      </c>
      <c r="G156" s="14">
        <f t="shared" si="4"/>
        <v>84510</v>
      </c>
      <c r="H156" s="15">
        <v>42751</v>
      </c>
      <c r="I156" s="16">
        <v>43768</v>
      </c>
      <c r="J156" s="17" t="s">
        <v>311</v>
      </c>
      <c r="K156" s="18"/>
      <c r="L156" s="18"/>
      <c r="M156" s="18"/>
    </row>
    <row r="157" spans="1:13" s="19" customFormat="1" ht="18.95" customHeight="1" x14ac:dyDescent="0.25">
      <c r="A157" s="4"/>
      <c r="B157" s="4"/>
      <c r="C157" s="20" t="s">
        <v>312</v>
      </c>
      <c r="D157" s="21" t="s">
        <v>16</v>
      </c>
      <c r="E157" s="22">
        <f>'[1]INVENTARIO MENSUAL'!AY206</f>
        <v>0</v>
      </c>
      <c r="F157" s="13">
        <f>3629.96*1.18</f>
        <v>4283.3527999999997</v>
      </c>
      <c r="G157" s="14">
        <f t="shared" si="4"/>
        <v>0</v>
      </c>
      <c r="H157" s="15">
        <v>43159</v>
      </c>
      <c r="I157" s="16">
        <v>44708</v>
      </c>
      <c r="J157" s="17" t="s">
        <v>313</v>
      </c>
      <c r="K157" s="18"/>
      <c r="L157" s="18"/>
      <c r="M157" s="18"/>
    </row>
    <row r="158" spans="1:13" s="19" customFormat="1" ht="18.95" customHeight="1" x14ac:dyDescent="0.25">
      <c r="A158" s="4"/>
      <c r="B158" s="4"/>
      <c r="C158" s="10" t="s">
        <v>314</v>
      </c>
      <c r="D158" s="11" t="s">
        <v>16</v>
      </c>
      <c r="E158" s="12">
        <f>'[1]INVENTARIO MENSUAL'!AY193</f>
        <v>9</v>
      </c>
      <c r="F158" s="13">
        <v>5649</v>
      </c>
      <c r="G158" s="14">
        <f t="shared" si="4"/>
        <v>50841</v>
      </c>
      <c r="H158" s="15">
        <v>42751</v>
      </c>
      <c r="I158" s="16">
        <v>43774</v>
      </c>
      <c r="J158" s="17" t="s">
        <v>315</v>
      </c>
      <c r="K158" s="18"/>
      <c r="L158" s="18"/>
      <c r="M158" s="18"/>
    </row>
    <row r="159" spans="1:13" s="19" customFormat="1" ht="18.95" customHeight="1" x14ac:dyDescent="0.25">
      <c r="A159" s="4"/>
      <c r="B159" s="4"/>
      <c r="C159" s="10" t="s">
        <v>316</v>
      </c>
      <c r="D159" s="11" t="s">
        <v>16</v>
      </c>
      <c r="E159" s="12">
        <f>'[1]INVENTARIO MENSUAL'!AY194</f>
        <v>4</v>
      </c>
      <c r="F159" s="13">
        <v>4695</v>
      </c>
      <c r="G159" s="14">
        <f t="shared" si="4"/>
        <v>18780</v>
      </c>
      <c r="H159" s="15">
        <v>42832</v>
      </c>
      <c r="I159" s="16">
        <v>43402</v>
      </c>
      <c r="J159" s="17" t="s">
        <v>317</v>
      </c>
      <c r="K159" s="18"/>
      <c r="L159" s="18"/>
      <c r="M159" s="18"/>
    </row>
    <row r="160" spans="1:13" s="19" customFormat="1" ht="18.95" customHeight="1" x14ac:dyDescent="0.25">
      <c r="A160" s="4"/>
      <c r="B160" s="4"/>
      <c r="C160" s="10" t="s">
        <v>318</v>
      </c>
      <c r="D160" s="21" t="s">
        <v>16</v>
      </c>
      <c r="E160" s="12">
        <f>'[1]INVENTARIO MENSUAL'!AY203</f>
        <v>1</v>
      </c>
      <c r="F160" s="13">
        <v>3261</v>
      </c>
      <c r="G160" s="14">
        <f t="shared" si="4"/>
        <v>3261</v>
      </c>
      <c r="H160" s="15">
        <v>43159</v>
      </c>
      <c r="I160" s="16">
        <v>44566</v>
      </c>
      <c r="J160" s="17" t="s">
        <v>319</v>
      </c>
      <c r="K160" s="18"/>
      <c r="L160" s="18"/>
      <c r="M160" s="18"/>
    </row>
    <row r="161" spans="1:13" s="19" customFormat="1" ht="18.95" customHeight="1" x14ac:dyDescent="0.25">
      <c r="A161" s="4"/>
      <c r="B161" s="4"/>
      <c r="C161" s="10" t="s">
        <v>320</v>
      </c>
      <c r="D161" s="21" t="s">
        <v>16</v>
      </c>
      <c r="E161" s="12">
        <f>'[1]INVENTARIO MENSUAL'!AY204</f>
        <v>32</v>
      </c>
      <c r="F161" s="13">
        <v>3673.24</v>
      </c>
      <c r="G161" s="14">
        <f>F161*E161</f>
        <v>117543.67999999999</v>
      </c>
      <c r="H161" s="15">
        <v>44543</v>
      </c>
      <c r="I161" s="16">
        <v>44547</v>
      </c>
      <c r="J161" s="17" t="s">
        <v>321</v>
      </c>
      <c r="K161" s="18"/>
      <c r="L161" s="18"/>
      <c r="M161" s="18"/>
    </row>
    <row r="162" spans="1:13" s="19" customFormat="1" ht="18.95" customHeight="1" x14ac:dyDescent="0.25">
      <c r="A162" s="4"/>
      <c r="B162" s="4"/>
      <c r="C162" s="10" t="s">
        <v>322</v>
      </c>
      <c r="D162" s="21" t="s">
        <v>16</v>
      </c>
      <c r="E162" s="12">
        <f>'[1]INVENTARIO MENSUAL'!AY224</f>
        <v>0</v>
      </c>
      <c r="F162" s="13">
        <v>3397.16</v>
      </c>
      <c r="G162" s="14">
        <f>E162*F162</f>
        <v>0</v>
      </c>
      <c r="H162" s="15">
        <v>42832</v>
      </c>
      <c r="I162" s="16">
        <v>44518</v>
      </c>
      <c r="J162" s="17" t="s">
        <v>323</v>
      </c>
      <c r="K162" s="18"/>
      <c r="L162" s="18"/>
      <c r="M162" s="18"/>
    </row>
    <row r="163" spans="1:13" s="19" customFormat="1" ht="18.95" customHeight="1" x14ac:dyDescent="0.25">
      <c r="A163" s="4"/>
      <c r="B163" s="4"/>
      <c r="C163" s="10" t="s">
        <v>324</v>
      </c>
      <c r="D163" s="21" t="s">
        <v>16</v>
      </c>
      <c r="E163" s="12">
        <f>'[1]INVENTARIO MENSUAL'!AY207</f>
        <v>0</v>
      </c>
      <c r="F163" s="13">
        <v>5340.15</v>
      </c>
      <c r="G163" s="14">
        <f t="shared" ref="G163:G168" si="5">F163*E163</f>
        <v>0</v>
      </c>
      <c r="H163" s="15">
        <v>42832</v>
      </c>
      <c r="I163" s="16">
        <v>44564</v>
      </c>
      <c r="J163" s="17" t="s">
        <v>325</v>
      </c>
      <c r="K163" s="18"/>
      <c r="L163" s="18"/>
      <c r="M163" s="18"/>
    </row>
    <row r="164" spans="1:13" s="19" customFormat="1" ht="18.95" customHeight="1" x14ac:dyDescent="0.25">
      <c r="A164" s="4"/>
      <c r="B164" s="4"/>
      <c r="C164" s="10" t="s">
        <v>326</v>
      </c>
      <c r="D164" s="21" t="s">
        <v>16</v>
      </c>
      <c r="E164" s="12">
        <f>'[1]INVENTARIO MENSUAL'!AY208</f>
        <v>0</v>
      </c>
      <c r="F164" s="13">
        <v>4247.2</v>
      </c>
      <c r="G164" s="14">
        <f t="shared" si="5"/>
        <v>0</v>
      </c>
      <c r="H164" s="15">
        <v>42832</v>
      </c>
      <c r="I164" s="16">
        <v>44547</v>
      </c>
      <c r="J164" s="17" t="s">
        <v>327</v>
      </c>
      <c r="K164" s="18"/>
      <c r="L164" s="18"/>
      <c r="M164" s="18"/>
    </row>
    <row r="165" spans="1:13" s="19" customFormat="1" ht="18.95" customHeight="1" x14ac:dyDescent="0.25">
      <c r="A165" s="4"/>
      <c r="B165" s="4"/>
      <c r="C165" s="10" t="s">
        <v>328</v>
      </c>
      <c r="D165" s="21" t="s">
        <v>16</v>
      </c>
      <c r="E165" s="12">
        <f>'[1]INVENTARIO MENSUAL'!AY209</f>
        <v>0</v>
      </c>
      <c r="F165" s="13">
        <v>4247.2</v>
      </c>
      <c r="G165" s="14">
        <f t="shared" si="5"/>
        <v>0</v>
      </c>
      <c r="H165" s="15">
        <v>42853</v>
      </c>
      <c r="I165" s="16">
        <v>44587</v>
      </c>
      <c r="J165" s="17" t="s">
        <v>329</v>
      </c>
      <c r="K165" s="18"/>
      <c r="L165" s="18"/>
      <c r="M165" s="18"/>
    </row>
    <row r="166" spans="1:13" s="19" customFormat="1" ht="18.95" customHeight="1" x14ac:dyDescent="0.25">
      <c r="A166" s="4"/>
      <c r="B166" s="4"/>
      <c r="C166" s="10" t="s">
        <v>330</v>
      </c>
      <c r="D166" s="21" t="s">
        <v>16</v>
      </c>
      <c r="E166" s="12">
        <f>'[1]INVENTARIO MENSUAL'!AY210</f>
        <v>0</v>
      </c>
      <c r="F166" s="13">
        <v>4247.2</v>
      </c>
      <c r="G166" s="14">
        <f t="shared" si="5"/>
        <v>0</v>
      </c>
      <c r="H166" s="15">
        <v>42751</v>
      </c>
      <c r="I166" s="16">
        <v>44579</v>
      </c>
      <c r="J166" s="17" t="s">
        <v>331</v>
      </c>
      <c r="K166" s="18"/>
      <c r="L166" s="18"/>
      <c r="M166" s="18"/>
    </row>
    <row r="167" spans="1:13" s="19" customFormat="1" ht="18.95" customHeight="1" x14ac:dyDescent="0.25">
      <c r="A167" s="4"/>
      <c r="B167" s="4"/>
      <c r="C167" s="10" t="s">
        <v>332</v>
      </c>
      <c r="D167" s="21" t="s">
        <v>16</v>
      </c>
      <c r="E167" s="12">
        <f>'[1]INVENTARIO MENSUAL'!AY228</f>
        <v>2</v>
      </c>
      <c r="F167" s="13">
        <f>4522.04*1.18</f>
        <v>5336.0072</v>
      </c>
      <c r="G167" s="14">
        <f t="shared" si="5"/>
        <v>10672.0144</v>
      </c>
      <c r="H167" s="15">
        <v>43159</v>
      </c>
      <c r="I167" s="16">
        <v>44680</v>
      </c>
      <c r="J167" s="17" t="s">
        <v>333</v>
      </c>
      <c r="K167" s="18"/>
      <c r="L167" s="18"/>
      <c r="M167" s="18"/>
    </row>
    <row r="168" spans="1:13" s="19" customFormat="1" ht="18.95" customHeight="1" x14ac:dyDescent="0.25">
      <c r="A168" s="4"/>
      <c r="B168" s="4"/>
      <c r="C168" s="10" t="s">
        <v>334</v>
      </c>
      <c r="D168" s="21" t="s">
        <v>16</v>
      </c>
      <c r="E168" s="12">
        <f>'[1]INVENTARIO MENSUAL'!AY229</f>
        <v>0</v>
      </c>
      <c r="F168" s="13">
        <v>5851.75</v>
      </c>
      <c r="G168" s="14">
        <f t="shared" si="5"/>
        <v>0</v>
      </c>
      <c r="H168" s="15">
        <v>43159</v>
      </c>
      <c r="I168" s="16">
        <v>44579</v>
      </c>
      <c r="J168" s="17" t="s">
        <v>335</v>
      </c>
      <c r="K168" s="18"/>
      <c r="L168" s="18"/>
      <c r="M168" s="18"/>
    </row>
    <row r="169" spans="1:13" s="19" customFormat="1" ht="18.95" customHeight="1" x14ac:dyDescent="0.25">
      <c r="A169" s="4"/>
      <c r="B169" s="4"/>
      <c r="C169" s="10" t="s">
        <v>336</v>
      </c>
      <c r="D169" s="21" t="s">
        <v>16</v>
      </c>
      <c r="E169" s="12">
        <f>'[1]INVENTARIO MENSUAL'!AY230</f>
        <v>0</v>
      </c>
      <c r="F169" s="13">
        <v>5851.75</v>
      </c>
      <c r="G169" s="14">
        <f>E169*F169</f>
        <v>0</v>
      </c>
      <c r="H169" s="15">
        <v>42751</v>
      </c>
      <c r="I169" s="16">
        <v>44579</v>
      </c>
      <c r="J169" s="17" t="s">
        <v>337</v>
      </c>
      <c r="K169" s="18"/>
      <c r="L169" s="18"/>
      <c r="M169" s="18"/>
    </row>
    <row r="170" spans="1:13" s="19" customFormat="1" ht="18.95" customHeight="1" x14ac:dyDescent="0.25">
      <c r="A170" s="4"/>
      <c r="B170" s="4"/>
      <c r="C170" s="10" t="s">
        <v>338</v>
      </c>
      <c r="D170" s="21" t="s">
        <v>16</v>
      </c>
      <c r="E170" s="12">
        <f>'[1]INVENTARIO MENSUAL'!AY231</f>
        <v>0</v>
      </c>
      <c r="F170" s="13">
        <v>5851.75</v>
      </c>
      <c r="G170" s="14">
        <f>F170*E170</f>
        <v>0</v>
      </c>
      <c r="H170" s="15">
        <v>42832</v>
      </c>
      <c r="I170" s="16">
        <v>44547</v>
      </c>
      <c r="J170" s="17" t="s">
        <v>339</v>
      </c>
      <c r="K170" s="18"/>
      <c r="L170" s="18"/>
      <c r="M170" s="18"/>
    </row>
    <row r="171" spans="1:13" s="19" customFormat="1" ht="18.95" customHeight="1" x14ac:dyDescent="0.25">
      <c r="A171" s="4"/>
      <c r="B171" s="4"/>
      <c r="C171" s="10" t="s">
        <v>340</v>
      </c>
      <c r="D171" s="21" t="s">
        <v>16</v>
      </c>
      <c r="E171" s="12">
        <f>'[1]INVENTARIO MENSUAL'!AY232</f>
        <v>0</v>
      </c>
      <c r="F171" s="13">
        <f>3182.29*1.18</f>
        <v>3755.1021999999998</v>
      </c>
      <c r="G171" s="14">
        <f>E171*F171</f>
        <v>0</v>
      </c>
      <c r="H171" s="15">
        <v>43159</v>
      </c>
      <c r="I171" s="16">
        <v>44680</v>
      </c>
      <c r="J171" s="17" t="s">
        <v>341</v>
      </c>
      <c r="K171" s="18"/>
      <c r="L171" s="18"/>
      <c r="M171" s="18"/>
    </row>
    <row r="172" spans="1:13" s="19" customFormat="1" ht="18.95" customHeight="1" x14ac:dyDescent="0.25">
      <c r="A172" s="4"/>
      <c r="B172" s="4"/>
      <c r="C172" s="10" t="s">
        <v>342</v>
      </c>
      <c r="D172" s="21" t="s">
        <v>16</v>
      </c>
      <c r="E172" s="12">
        <f>'[1]INVENTARIO MENSUAL'!AY233</f>
        <v>0</v>
      </c>
      <c r="F172" s="13">
        <f>3751.93*1.18</f>
        <v>4427.2773999999999</v>
      </c>
      <c r="G172" s="14">
        <f>E172*F172</f>
        <v>0</v>
      </c>
      <c r="H172" s="15">
        <v>43159</v>
      </c>
      <c r="I172" s="16">
        <v>44680</v>
      </c>
      <c r="J172" s="17" t="s">
        <v>343</v>
      </c>
      <c r="K172" s="18"/>
      <c r="L172" s="18"/>
      <c r="M172" s="18"/>
    </row>
    <row r="173" spans="1:13" s="19" customFormat="1" ht="18.95" customHeight="1" x14ac:dyDescent="0.25">
      <c r="A173" s="4"/>
      <c r="B173" s="4"/>
      <c r="C173" s="10" t="s">
        <v>344</v>
      </c>
      <c r="D173" s="21" t="s">
        <v>16</v>
      </c>
      <c r="E173" s="12">
        <f>'[1]INVENTARIO MENSUAL'!AY234</f>
        <v>0</v>
      </c>
      <c r="F173" s="13">
        <f>3751.93*1.18</f>
        <v>4427.2773999999999</v>
      </c>
      <c r="G173" s="14">
        <f>E173*F173</f>
        <v>0</v>
      </c>
      <c r="H173" s="15">
        <v>43159</v>
      </c>
      <c r="I173" s="16">
        <v>44680</v>
      </c>
      <c r="J173" s="17" t="s">
        <v>345</v>
      </c>
      <c r="K173" s="18"/>
      <c r="L173" s="18"/>
      <c r="M173" s="18"/>
    </row>
    <row r="174" spans="1:13" s="19" customFormat="1" ht="18.95" customHeight="1" x14ac:dyDescent="0.25">
      <c r="A174" s="4"/>
      <c r="B174" s="4"/>
      <c r="C174" s="20" t="s">
        <v>346</v>
      </c>
      <c r="D174" s="21" t="s">
        <v>16</v>
      </c>
      <c r="E174" s="12">
        <f>'[1]INVENTARIO MENSUAL'!AY235</f>
        <v>0</v>
      </c>
      <c r="F174" s="13">
        <f>3751.93*1.18</f>
        <v>4427.2773999999999</v>
      </c>
      <c r="G174" s="14">
        <f>F174*E174</f>
        <v>0</v>
      </c>
      <c r="H174" s="15">
        <v>43159</v>
      </c>
      <c r="I174" s="16">
        <v>44680</v>
      </c>
      <c r="J174" s="17" t="s">
        <v>347</v>
      </c>
      <c r="K174" s="18"/>
      <c r="L174" s="18"/>
      <c r="M174" s="18"/>
    </row>
    <row r="175" spans="1:13" s="19" customFormat="1" ht="18.95" customHeight="1" x14ac:dyDescent="0.25">
      <c r="A175" s="4"/>
      <c r="B175" s="4"/>
      <c r="C175" s="20" t="s">
        <v>348</v>
      </c>
      <c r="D175" s="21" t="s">
        <v>16</v>
      </c>
      <c r="E175" s="22">
        <f>'[1]INVENTARIO MENSUAL'!AY181</f>
        <v>0</v>
      </c>
      <c r="F175" s="13">
        <v>4705.32</v>
      </c>
      <c r="G175" s="14">
        <f>F175*E175</f>
        <v>0</v>
      </c>
      <c r="H175" s="15">
        <v>42751</v>
      </c>
      <c r="I175" s="16">
        <v>44587</v>
      </c>
      <c r="J175" s="17" t="s">
        <v>349</v>
      </c>
      <c r="K175" s="18"/>
      <c r="L175" s="18"/>
      <c r="M175" s="18"/>
    </row>
    <row r="176" spans="1:13" s="19" customFormat="1" ht="18.95" customHeight="1" x14ac:dyDescent="0.25">
      <c r="A176" s="4"/>
      <c r="B176" s="4"/>
      <c r="C176" s="20" t="s">
        <v>350</v>
      </c>
      <c r="D176" s="21" t="s">
        <v>16</v>
      </c>
      <c r="E176" s="22">
        <f>+'[1]INVENTARIO MENSUAL'!AY202</f>
        <v>4</v>
      </c>
      <c r="F176" s="13">
        <v>8614.58</v>
      </c>
      <c r="G176" s="14">
        <f>E176*F176*1.18</f>
        <v>40660.817599999995</v>
      </c>
      <c r="H176" s="15">
        <v>44713</v>
      </c>
      <c r="I176" s="16">
        <v>44713</v>
      </c>
      <c r="J176" s="17" t="s">
        <v>351</v>
      </c>
      <c r="K176" s="18"/>
      <c r="L176" s="18"/>
      <c r="M176" s="18"/>
    </row>
    <row r="177" spans="1:13" s="19" customFormat="1" ht="18.95" customHeight="1" x14ac:dyDescent="0.25">
      <c r="A177" s="4"/>
      <c r="B177" s="4"/>
      <c r="C177" s="20" t="s">
        <v>352</v>
      </c>
      <c r="D177" s="21" t="s">
        <v>16</v>
      </c>
      <c r="E177" s="22">
        <f>'[1]INVENTARIO MENSUAL'!AY218</f>
        <v>10</v>
      </c>
      <c r="F177" s="13">
        <f>4130.17*1.18</f>
        <v>4873.6005999999998</v>
      </c>
      <c r="G177" s="14">
        <f>E177*F177</f>
        <v>48736.005999999994</v>
      </c>
      <c r="H177" s="15">
        <v>44680</v>
      </c>
      <c r="I177" s="16">
        <v>44680</v>
      </c>
      <c r="J177" s="17" t="s">
        <v>353</v>
      </c>
      <c r="K177" s="18"/>
      <c r="L177" s="18"/>
      <c r="M177" s="18"/>
    </row>
    <row r="178" spans="1:13" s="19" customFormat="1" ht="18.95" customHeight="1" x14ac:dyDescent="0.25">
      <c r="A178" s="4"/>
      <c r="B178" s="4"/>
      <c r="C178" s="20" t="s">
        <v>354</v>
      </c>
      <c r="D178" s="21" t="s">
        <v>16</v>
      </c>
      <c r="E178" s="22">
        <f>'[1]INVENTARIO MENSUAL'!AY226</f>
        <v>0</v>
      </c>
      <c r="F178" s="13">
        <f>6083.66*1.18</f>
        <v>7178.7187999999996</v>
      </c>
      <c r="G178" s="14">
        <f>F178*E178</f>
        <v>0</v>
      </c>
      <c r="H178" s="15">
        <v>43159</v>
      </c>
      <c r="I178" s="16">
        <v>44680</v>
      </c>
      <c r="J178" s="17" t="s">
        <v>355</v>
      </c>
      <c r="K178" s="18"/>
      <c r="L178" s="18"/>
      <c r="M178" s="18"/>
    </row>
    <row r="179" spans="1:13" s="19" customFormat="1" ht="18.95" customHeight="1" x14ac:dyDescent="0.25">
      <c r="A179" s="4"/>
      <c r="B179" s="4"/>
      <c r="C179" s="20" t="s">
        <v>356</v>
      </c>
      <c r="D179" s="21" t="s">
        <v>16</v>
      </c>
      <c r="E179" s="22">
        <f>'[1]INVENTARIO MENSUAL'!AY211</f>
        <v>8</v>
      </c>
      <c r="F179" s="13">
        <f>3302.97*1.18</f>
        <v>3897.5045999999998</v>
      </c>
      <c r="G179" s="14">
        <f>F179*E179</f>
        <v>31180.036799999998</v>
      </c>
      <c r="H179" s="15">
        <v>43159</v>
      </c>
      <c r="I179" s="16">
        <v>44708</v>
      </c>
      <c r="J179" s="17" t="s">
        <v>357</v>
      </c>
      <c r="K179" s="18"/>
      <c r="L179" s="18"/>
      <c r="M179" s="18"/>
    </row>
    <row r="180" spans="1:13" s="19" customFormat="1" ht="18.95" customHeight="1" x14ac:dyDescent="0.25">
      <c r="A180" s="4"/>
      <c r="B180" s="4"/>
      <c r="C180" s="20" t="s">
        <v>358</v>
      </c>
      <c r="D180" s="21" t="s">
        <v>16</v>
      </c>
      <c r="E180" s="22">
        <v>15</v>
      </c>
      <c r="F180" s="26">
        <v>4442.2299999999996</v>
      </c>
      <c r="G180" s="14">
        <f>F180*E180*1.18</f>
        <v>78627.47099999999</v>
      </c>
      <c r="H180" s="15">
        <v>44708</v>
      </c>
      <c r="I180" s="16">
        <v>44708</v>
      </c>
      <c r="J180" s="17" t="s">
        <v>359</v>
      </c>
      <c r="K180" s="18"/>
      <c r="L180" s="18"/>
      <c r="M180" s="18"/>
    </row>
    <row r="181" spans="1:13" s="19" customFormat="1" ht="18.95" customHeight="1" x14ac:dyDescent="0.25">
      <c r="A181" s="4"/>
      <c r="B181" s="4"/>
      <c r="C181" s="20" t="s">
        <v>358</v>
      </c>
      <c r="D181" s="21" t="s">
        <v>16</v>
      </c>
      <c r="E181" s="22">
        <v>5</v>
      </c>
      <c r="F181" s="13">
        <v>4451.0600000000004</v>
      </c>
      <c r="G181" s="14">
        <f>F181*E181</f>
        <v>22255.300000000003</v>
      </c>
      <c r="H181" s="15">
        <v>44596</v>
      </c>
      <c r="I181" s="16">
        <v>44596</v>
      </c>
      <c r="J181" s="17" t="s">
        <v>359</v>
      </c>
      <c r="K181" s="18"/>
      <c r="L181" s="18"/>
      <c r="M181" s="18"/>
    </row>
    <row r="182" spans="1:13" s="19" customFormat="1" ht="18.95" customHeight="1" x14ac:dyDescent="0.25">
      <c r="A182" s="4"/>
      <c r="B182" s="4"/>
      <c r="C182" s="10" t="s">
        <v>360</v>
      </c>
      <c r="D182" s="11" t="s">
        <v>16</v>
      </c>
      <c r="E182" s="12">
        <f>'[1]INVENTARIO MENSUAL'!AY222</f>
        <v>0</v>
      </c>
      <c r="F182" s="13">
        <f>6274.09*1.18</f>
        <v>7403.4261999999999</v>
      </c>
      <c r="G182" s="14">
        <f>E182*F182</f>
        <v>0</v>
      </c>
      <c r="H182" s="15">
        <v>42751</v>
      </c>
      <c r="I182" s="16">
        <v>44676</v>
      </c>
      <c r="J182" s="17" t="s">
        <v>361</v>
      </c>
      <c r="K182" s="18"/>
      <c r="L182" s="18"/>
      <c r="M182" s="18"/>
    </row>
    <row r="183" spans="1:13" s="19" customFormat="1" ht="18.95" customHeight="1" x14ac:dyDescent="0.25">
      <c r="A183" s="4"/>
      <c r="B183" s="4"/>
      <c r="C183" s="20" t="s">
        <v>362</v>
      </c>
      <c r="D183" s="21" t="s">
        <v>16</v>
      </c>
      <c r="E183" s="22">
        <f>'[1]INVENTARIO MENSUAL'!AY223</f>
        <v>0</v>
      </c>
      <c r="F183" s="13">
        <v>7761.72</v>
      </c>
      <c r="G183" s="14">
        <f>E183*F183</f>
        <v>0</v>
      </c>
      <c r="H183" s="15">
        <v>42751</v>
      </c>
      <c r="I183" s="16">
        <v>44566</v>
      </c>
      <c r="J183" s="17" t="s">
        <v>363</v>
      </c>
      <c r="K183" s="18"/>
      <c r="L183" s="18"/>
      <c r="M183" s="18"/>
    </row>
    <row r="184" spans="1:13" s="19" customFormat="1" ht="18.95" customHeight="1" x14ac:dyDescent="0.25">
      <c r="A184" s="4"/>
      <c r="B184" s="4"/>
      <c r="C184" s="20" t="s">
        <v>364</v>
      </c>
      <c r="D184" s="21" t="s">
        <v>16</v>
      </c>
      <c r="E184" s="22">
        <v>7</v>
      </c>
      <c r="F184" s="13">
        <v>7900.96</v>
      </c>
      <c r="G184" s="14">
        <f>+E184*F184</f>
        <v>55306.720000000001</v>
      </c>
      <c r="H184" s="15">
        <v>44525</v>
      </c>
      <c r="I184" s="16">
        <v>44525</v>
      </c>
      <c r="J184" s="17" t="s">
        <v>365</v>
      </c>
      <c r="K184" s="18"/>
      <c r="L184" s="18"/>
      <c r="M184" s="18"/>
    </row>
    <row r="185" spans="1:13" s="19" customFormat="1" ht="18.95" customHeight="1" x14ac:dyDescent="0.25">
      <c r="A185" s="4"/>
      <c r="B185" s="4"/>
      <c r="C185" s="20" t="s">
        <v>366</v>
      </c>
      <c r="D185" s="21" t="s">
        <v>16</v>
      </c>
      <c r="E185" s="22">
        <v>10</v>
      </c>
      <c r="F185" s="13">
        <v>5703.75</v>
      </c>
      <c r="G185" s="14">
        <f t="shared" ref="G185:G188" si="6">+E185*F185</f>
        <v>57037.5</v>
      </c>
      <c r="H185" s="15">
        <v>44525</v>
      </c>
      <c r="I185" s="16">
        <v>44525</v>
      </c>
      <c r="J185" s="17" t="s">
        <v>367</v>
      </c>
      <c r="K185" s="18"/>
      <c r="L185" s="18"/>
      <c r="M185" s="18"/>
    </row>
    <row r="186" spans="1:13" s="19" customFormat="1" ht="18.95" customHeight="1" x14ac:dyDescent="0.25">
      <c r="A186" s="4"/>
      <c r="B186" s="4"/>
      <c r="C186" s="20" t="s">
        <v>366</v>
      </c>
      <c r="D186" s="21" t="s">
        <v>16</v>
      </c>
      <c r="E186" s="22">
        <v>3</v>
      </c>
      <c r="F186" s="13">
        <v>6398.74</v>
      </c>
      <c r="G186" s="14">
        <f t="shared" si="6"/>
        <v>19196.22</v>
      </c>
      <c r="H186" s="15">
        <v>44383</v>
      </c>
      <c r="I186" s="16">
        <v>44383</v>
      </c>
      <c r="J186" s="17" t="s">
        <v>367</v>
      </c>
      <c r="K186" s="18"/>
      <c r="L186" s="18"/>
      <c r="M186" s="18"/>
    </row>
    <row r="187" spans="1:13" s="19" customFormat="1" ht="18.95" customHeight="1" x14ac:dyDescent="0.25">
      <c r="A187" s="4"/>
      <c r="B187" s="4"/>
      <c r="C187" s="20" t="s">
        <v>368</v>
      </c>
      <c r="D187" s="21" t="s">
        <v>16</v>
      </c>
      <c r="E187" s="22">
        <v>8</v>
      </c>
      <c r="F187" s="13">
        <v>5177.25</v>
      </c>
      <c r="G187" s="14">
        <f t="shared" si="6"/>
        <v>41418</v>
      </c>
      <c r="H187" s="15">
        <v>44525</v>
      </c>
      <c r="I187" s="16">
        <v>44525</v>
      </c>
      <c r="J187" s="17" t="s">
        <v>369</v>
      </c>
      <c r="K187" s="18"/>
      <c r="L187" s="18"/>
      <c r="M187" s="18"/>
    </row>
    <row r="188" spans="1:13" s="19" customFormat="1" ht="18.75" customHeight="1" x14ac:dyDescent="0.25">
      <c r="A188" s="4"/>
      <c r="B188" s="4"/>
      <c r="C188" s="20" t="s">
        <v>370</v>
      </c>
      <c r="D188" s="21" t="s">
        <v>16</v>
      </c>
      <c r="E188" s="22">
        <v>6</v>
      </c>
      <c r="F188" s="13">
        <v>8770.61</v>
      </c>
      <c r="G188" s="14">
        <f t="shared" si="6"/>
        <v>52623.66</v>
      </c>
      <c r="H188" s="15">
        <v>44565</v>
      </c>
      <c r="I188" s="16">
        <v>44565</v>
      </c>
      <c r="J188" s="17" t="s">
        <v>371</v>
      </c>
      <c r="K188" s="18"/>
      <c r="L188" s="18"/>
      <c r="M188" s="18"/>
    </row>
    <row r="189" spans="1:13" s="19" customFormat="1" ht="18.95" customHeight="1" x14ac:dyDescent="0.25">
      <c r="A189" s="4"/>
      <c r="B189" s="4"/>
      <c r="C189" s="20" t="s">
        <v>372</v>
      </c>
      <c r="D189" s="21" t="s">
        <v>16</v>
      </c>
      <c r="E189" s="22">
        <v>3</v>
      </c>
      <c r="F189" s="13">
        <f>2545.45*1.18</f>
        <v>3003.6309999999994</v>
      </c>
      <c r="G189" s="14">
        <f>+E189*F189</f>
        <v>9010.8929999999982</v>
      </c>
      <c r="H189" s="15">
        <v>44517</v>
      </c>
      <c r="I189" s="16">
        <v>44517</v>
      </c>
      <c r="J189" s="17" t="s">
        <v>373</v>
      </c>
      <c r="K189" s="18"/>
      <c r="L189" s="18"/>
      <c r="M189" s="18"/>
    </row>
    <row r="190" spans="1:13" s="19" customFormat="1" ht="18.95" customHeight="1" x14ac:dyDescent="0.25">
      <c r="A190" s="4"/>
      <c r="B190" s="4"/>
      <c r="C190" s="20" t="s">
        <v>374</v>
      </c>
      <c r="D190" s="21" t="s">
        <v>16</v>
      </c>
      <c r="E190" s="22">
        <v>3</v>
      </c>
      <c r="F190" s="13">
        <v>1750.61</v>
      </c>
      <c r="G190" s="14">
        <f>+E190*F190</f>
        <v>5251.83</v>
      </c>
      <c r="H190" s="15">
        <v>44525</v>
      </c>
      <c r="I190" s="16">
        <v>44525</v>
      </c>
      <c r="J190" s="17" t="s">
        <v>375</v>
      </c>
      <c r="K190" s="18"/>
      <c r="L190" s="18"/>
      <c r="M190" s="18"/>
    </row>
    <row r="191" spans="1:13" s="19" customFormat="1" ht="18.95" customHeight="1" x14ac:dyDescent="0.25">
      <c r="A191" s="4"/>
      <c r="B191" s="4"/>
      <c r="C191" s="20" t="s">
        <v>376</v>
      </c>
      <c r="D191" s="21" t="s">
        <v>16</v>
      </c>
      <c r="E191" s="22">
        <v>3</v>
      </c>
      <c r="F191" s="13">
        <v>2900</v>
      </c>
      <c r="G191" s="14">
        <f>+E191*F191*1.18</f>
        <v>10266</v>
      </c>
      <c r="H191" s="15">
        <v>44426</v>
      </c>
      <c r="I191" s="16">
        <v>44426</v>
      </c>
      <c r="J191" s="17" t="s">
        <v>377</v>
      </c>
      <c r="K191" s="18"/>
      <c r="L191" s="18"/>
      <c r="M191" s="18"/>
    </row>
    <row r="192" spans="1:13" s="19" customFormat="1" ht="18.95" customHeight="1" x14ac:dyDescent="0.25">
      <c r="A192" s="4"/>
      <c r="B192" s="4"/>
      <c r="C192" s="20" t="s">
        <v>378</v>
      </c>
      <c r="D192" s="21" t="s">
        <v>16</v>
      </c>
      <c r="E192" s="22">
        <v>40</v>
      </c>
      <c r="F192" s="13">
        <v>450</v>
      </c>
      <c r="G192" s="14">
        <f>+E192*F192*1.18</f>
        <v>21240</v>
      </c>
      <c r="H192" s="15">
        <v>44992</v>
      </c>
      <c r="I192" s="16">
        <v>44992</v>
      </c>
      <c r="J192" s="17" t="s">
        <v>379</v>
      </c>
      <c r="K192" s="18"/>
      <c r="L192" s="18"/>
      <c r="M192" s="18"/>
    </row>
    <row r="193" spans="1:17" s="19" customFormat="1" ht="18.95" customHeight="1" x14ac:dyDescent="0.25">
      <c r="A193" s="4"/>
      <c r="B193" s="4"/>
      <c r="C193" s="20" t="s">
        <v>380</v>
      </c>
      <c r="D193" s="21" t="s">
        <v>16</v>
      </c>
      <c r="E193" s="22">
        <v>10</v>
      </c>
      <c r="F193" s="13">
        <v>6900</v>
      </c>
      <c r="G193" s="14">
        <f>+E193*F193*1.18</f>
        <v>81420</v>
      </c>
      <c r="H193" s="15">
        <v>44992</v>
      </c>
      <c r="I193" s="16">
        <v>44992</v>
      </c>
      <c r="J193" s="17" t="s">
        <v>381</v>
      </c>
      <c r="K193" s="18"/>
      <c r="L193" s="18"/>
      <c r="M193" s="18"/>
    </row>
    <row r="194" spans="1:17" s="19" customFormat="1" ht="18.95" customHeight="1" x14ac:dyDescent="0.25">
      <c r="A194" s="4"/>
      <c r="B194" s="4"/>
      <c r="C194" s="20" t="s">
        <v>382</v>
      </c>
      <c r="D194" s="21" t="s">
        <v>16</v>
      </c>
      <c r="E194" s="22">
        <v>14</v>
      </c>
      <c r="F194" s="13">
        <v>4100</v>
      </c>
      <c r="G194" s="14">
        <f>+E194*F194*1.18</f>
        <v>67732</v>
      </c>
      <c r="H194" s="15">
        <v>44992</v>
      </c>
      <c r="I194" s="16">
        <v>44992</v>
      </c>
      <c r="J194" s="17" t="s">
        <v>383</v>
      </c>
      <c r="K194" s="18"/>
      <c r="L194" s="18"/>
      <c r="M194" s="18"/>
    </row>
    <row r="195" spans="1:17" s="19" customFormat="1" ht="18.75" customHeight="1" x14ac:dyDescent="0.25">
      <c r="A195" s="4"/>
      <c r="B195" s="4"/>
      <c r="C195" s="10" t="s">
        <v>384</v>
      </c>
      <c r="D195" s="21" t="s">
        <v>27</v>
      </c>
      <c r="E195" s="12">
        <f>'[1]INVENTARIO MENSUAL'!AY365</f>
        <v>1</v>
      </c>
      <c r="F195" s="13">
        <f>(3236.22/50)*1.18</f>
        <v>76.374791999999999</v>
      </c>
      <c r="G195" s="14">
        <f>F195*E195</f>
        <v>76.374791999999999</v>
      </c>
      <c r="H195" s="15">
        <v>43144</v>
      </c>
      <c r="I195" s="16">
        <v>45006</v>
      </c>
      <c r="J195" s="17" t="s">
        <v>385</v>
      </c>
      <c r="K195" s="18"/>
      <c r="L195" s="18"/>
      <c r="M195" s="18"/>
    </row>
    <row r="196" spans="1:17" s="19" customFormat="1" ht="18.95" customHeight="1" x14ac:dyDescent="0.25">
      <c r="A196" s="4"/>
      <c r="B196" s="4"/>
      <c r="C196" s="20" t="s">
        <v>386</v>
      </c>
      <c r="D196" s="21" t="s">
        <v>27</v>
      </c>
      <c r="E196" s="22">
        <f>'[1]INVENTARIO MENSUAL'!AY369</f>
        <v>5</v>
      </c>
      <c r="F196" s="13">
        <f>(3226.55/50)*1.18</f>
        <v>76.14658</v>
      </c>
      <c r="G196" s="14">
        <f>F196*E196</f>
        <v>380.73289999999997</v>
      </c>
      <c r="H196" s="15">
        <v>43159</v>
      </c>
      <c r="I196" s="16">
        <v>44900</v>
      </c>
      <c r="J196" s="17" t="s">
        <v>387</v>
      </c>
      <c r="K196" s="18"/>
      <c r="L196" s="18"/>
      <c r="M196" s="18"/>
    </row>
    <row r="197" spans="1:17" s="19" customFormat="1" ht="18.95" customHeight="1" x14ac:dyDescent="0.25">
      <c r="A197" s="4"/>
      <c r="B197" s="4"/>
      <c r="C197" s="20" t="s">
        <v>388</v>
      </c>
      <c r="D197" s="21" t="s">
        <v>27</v>
      </c>
      <c r="E197" s="38">
        <v>1012</v>
      </c>
      <c r="F197" s="39">
        <v>87.93</v>
      </c>
      <c r="G197" s="14">
        <f>F197*E197*1.18</f>
        <v>105002.48879999999</v>
      </c>
      <c r="H197" s="15">
        <v>43112</v>
      </c>
      <c r="I197" s="40">
        <v>45036</v>
      </c>
      <c r="J197" s="17" t="s">
        <v>389</v>
      </c>
      <c r="K197" s="18"/>
      <c r="L197" s="18"/>
      <c r="M197" s="18"/>
    </row>
    <row r="198" spans="1:17" s="19" customFormat="1" ht="18.95" customHeight="1" x14ac:dyDescent="0.25">
      <c r="A198" s="4"/>
      <c r="B198" s="4"/>
      <c r="C198" s="20" t="s">
        <v>390</v>
      </c>
      <c r="D198" s="21" t="s">
        <v>27</v>
      </c>
      <c r="E198" s="38">
        <v>137</v>
      </c>
      <c r="F198" s="39">
        <v>185.21</v>
      </c>
      <c r="G198" s="41">
        <f>+E198*F198</f>
        <v>25373.77</v>
      </c>
      <c r="H198" s="42">
        <v>44900</v>
      </c>
      <c r="I198" s="40">
        <v>44900</v>
      </c>
      <c r="J198" s="43" t="s">
        <v>391</v>
      </c>
      <c r="K198" s="18"/>
      <c r="L198" s="18"/>
      <c r="M198" s="18"/>
    </row>
    <row r="199" spans="1:17" s="19" customFormat="1" ht="18.95" customHeight="1" thickBot="1" x14ac:dyDescent="0.3">
      <c r="A199" s="4"/>
      <c r="B199" s="4"/>
      <c r="C199" s="44" t="s">
        <v>392</v>
      </c>
      <c r="D199" s="45" t="s">
        <v>16</v>
      </c>
      <c r="E199" s="46">
        <f>'[1]INVENTARIO MENSUAL'!AY159</f>
        <v>11</v>
      </c>
      <c r="F199" s="47">
        <v>280.73</v>
      </c>
      <c r="G199" s="48">
        <f>F199*E199*1.18</f>
        <v>3643.8753999999999</v>
      </c>
      <c r="H199" s="49">
        <v>43159</v>
      </c>
      <c r="I199" s="50">
        <v>45092</v>
      </c>
      <c r="J199" s="51" t="s">
        <v>393</v>
      </c>
      <c r="K199" s="18"/>
      <c r="L199" s="18"/>
      <c r="M199" s="18"/>
    </row>
    <row r="200" spans="1:17" s="8" customFormat="1" ht="20.25" customHeight="1" thickBot="1" x14ac:dyDescent="0.45">
      <c r="A200" s="4"/>
      <c r="B200" s="4"/>
      <c r="C200" s="52"/>
      <c r="D200" s="53"/>
      <c r="E200" s="53"/>
      <c r="F200" s="54" t="s">
        <v>394</v>
      </c>
      <c r="G200" s="55">
        <f>SUM(G12:G199)</f>
        <v>3526269.9433253328</v>
      </c>
      <c r="H200" s="56"/>
      <c r="I200" s="7"/>
      <c r="J200" s="7"/>
      <c r="K200" s="7"/>
      <c r="L200" s="7"/>
      <c r="M200" s="7"/>
      <c r="N200" s="7"/>
      <c r="O200" s="7"/>
      <c r="P200" s="7"/>
      <c r="Q200" s="7"/>
    </row>
    <row r="201" spans="1:17" s="8" customFormat="1" ht="20.25" thickTop="1" x14ac:dyDescent="0.4">
      <c r="A201" s="4"/>
      <c r="B201" s="4"/>
      <c r="C201" s="52"/>
      <c r="D201" s="53"/>
      <c r="E201" s="53"/>
      <c r="F201" s="57"/>
      <c r="G201" s="58"/>
      <c r="H201" s="56"/>
      <c r="I201" s="7"/>
      <c r="J201" s="7"/>
      <c r="K201" s="7"/>
      <c r="L201" s="7"/>
      <c r="M201" s="7"/>
      <c r="N201" s="7"/>
      <c r="O201" s="7"/>
      <c r="P201" s="7"/>
      <c r="Q201" s="7"/>
    </row>
    <row r="202" spans="1:17" s="8" customFormat="1" ht="19.5" x14ac:dyDescent="0.4">
      <c r="A202" s="4"/>
      <c r="B202" s="4"/>
      <c r="C202" s="52"/>
      <c r="D202" s="53"/>
      <c r="E202" s="53"/>
      <c r="F202" s="57"/>
      <c r="G202" s="58"/>
      <c r="H202" s="56"/>
      <c r="I202" s="7"/>
      <c r="J202" s="7"/>
      <c r="K202" s="7"/>
      <c r="L202" s="7"/>
      <c r="M202" s="7"/>
      <c r="N202" s="7"/>
      <c r="O202" s="7"/>
      <c r="P202" s="7"/>
      <c r="Q202" s="7"/>
    </row>
    <row r="203" spans="1:17" ht="19.5" x14ac:dyDescent="0.4">
      <c r="A203" s="1"/>
      <c r="B203" s="1"/>
      <c r="C203" s="59"/>
      <c r="D203" s="53"/>
      <c r="E203" s="53"/>
      <c r="F203" s="60"/>
      <c r="G203" s="61"/>
      <c r="H203" s="56"/>
      <c r="I203" s="62"/>
      <c r="J203" s="63"/>
    </row>
    <row r="204" spans="1:17" ht="19.5" x14ac:dyDescent="0.4">
      <c r="A204" s="1"/>
      <c r="B204" s="1"/>
      <c r="C204" s="62"/>
      <c r="D204" s="53"/>
      <c r="E204" s="53"/>
      <c r="F204" s="60"/>
      <c r="G204" s="61"/>
      <c r="H204" s="56"/>
      <c r="I204" s="62"/>
      <c r="J204" s="63"/>
    </row>
    <row r="205" spans="1:17" ht="19.5" x14ac:dyDescent="0.4">
      <c r="A205" s="1"/>
      <c r="B205" s="1"/>
      <c r="C205" s="62"/>
      <c r="D205" s="53"/>
      <c r="E205" s="53"/>
      <c r="F205" s="60"/>
      <c r="G205" s="63"/>
      <c r="H205" s="56"/>
      <c r="I205" s="62"/>
      <c r="J205" s="63"/>
    </row>
    <row r="206" spans="1:17" ht="19.5" x14ac:dyDescent="0.4">
      <c r="A206" s="1"/>
      <c r="B206" s="1"/>
      <c r="C206" s="53"/>
      <c r="D206" s="53"/>
      <c r="E206" s="53"/>
      <c r="F206" s="60"/>
      <c r="G206" s="63"/>
      <c r="H206" s="56"/>
      <c r="I206" s="64"/>
      <c r="J206" s="65"/>
    </row>
    <row r="207" spans="1:17" ht="15" customHeight="1" x14ac:dyDescent="0.25">
      <c r="A207" s="1"/>
      <c r="B207" s="1"/>
      <c r="C207" s="66" t="s">
        <v>395</v>
      </c>
      <c r="D207" s="66"/>
      <c r="E207" s="66"/>
      <c r="F207" s="66"/>
      <c r="G207" s="66"/>
      <c r="H207" s="66"/>
      <c r="I207" s="66"/>
      <c r="J207" s="66"/>
    </row>
    <row r="208" spans="1:17" ht="15" customHeight="1" x14ac:dyDescent="0.25">
      <c r="A208" s="1"/>
      <c r="B208" s="1"/>
      <c r="C208" s="66"/>
      <c r="D208" s="66"/>
      <c r="E208" s="66"/>
      <c r="F208" s="66"/>
      <c r="G208" s="66"/>
      <c r="H208" s="66"/>
      <c r="I208" s="66"/>
      <c r="J208" s="66"/>
    </row>
    <row r="209" spans="1:10" ht="15" customHeight="1" x14ac:dyDescent="0.25">
      <c r="A209" s="1"/>
      <c r="B209" s="1"/>
      <c r="C209" s="67" t="s">
        <v>396</v>
      </c>
      <c r="D209" s="67"/>
      <c r="E209" s="67"/>
      <c r="F209" s="67"/>
      <c r="G209" s="67"/>
      <c r="H209" s="67"/>
      <c r="I209" s="67"/>
      <c r="J209" s="67"/>
    </row>
    <row r="210" spans="1:10" ht="15" customHeight="1" x14ac:dyDescent="0.25">
      <c r="A210" s="1"/>
      <c r="B210" s="1"/>
      <c r="C210" s="4"/>
      <c r="D210" s="4"/>
      <c r="E210" s="4"/>
      <c r="F210" s="4"/>
      <c r="G210" s="4"/>
      <c r="H210" s="4"/>
      <c r="I210" s="4"/>
      <c r="J210" s="4"/>
    </row>
    <row r="211" spans="1:10" s="2" customFormat="1" x14ac:dyDescent="0.25">
      <c r="C211" s="68"/>
      <c r="D211" s="68"/>
      <c r="E211" s="68"/>
      <c r="F211" s="68"/>
      <c r="G211" s="68"/>
      <c r="H211" s="68"/>
      <c r="I211" s="68"/>
      <c r="J211" s="68"/>
    </row>
    <row r="212" spans="1:10" s="2" customFormat="1" x14ac:dyDescent="0.25"/>
    <row r="213" spans="1:10" s="2" customFormat="1" x14ac:dyDescent="0.25"/>
    <row r="214" spans="1:10" s="2" customFormat="1" x14ac:dyDescent="0.25"/>
    <row r="215" spans="1:10" s="2" customFormat="1" x14ac:dyDescent="0.25"/>
    <row r="216" spans="1:10" s="2" customFormat="1" x14ac:dyDescent="0.25"/>
    <row r="217" spans="1:10" s="2" customFormat="1" x14ac:dyDescent="0.25"/>
    <row r="218" spans="1:10" s="2" customFormat="1" x14ac:dyDescent="0.25"/>
    <row r="219" spans="1:10" s="2" customFormat="1" x14ac:dyDescent="0.25"/>
    <row r="220" spans="1:10" s="2" customFormat="1" x14ac:dyDescent="0.25"/>
    <row r="221" spans="1:10" s="2" customFormat="1" x14ac:dyDescent="0.25"/>
    <row r="222" spans="1:10" s="2" customFormat="1" x14ac:dyDescent="0.25"/>
    <row r="223" spans="1:10" s="2" customFormat="1" x14ac:dyDescent="0.25"/>
    <row r="224" spans="1:10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</sheetData>
  <mergeCells count="9">
    <mergeCell ref="C207:J208"/>
    <mergeCell ref="C209:J209"/>
    <mergeCell ref="C211:J211"/>
    <mergeCell ref="C1:J5"/>
    <mergeCell ref="C6:J6"/>
    <mergeCell ref="C7:J7"/>
    <mergeCell ref="C8:J8"/>
    <mergeCell ref="C9:J9"/>
    <mergeCell ref="C10:J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2023-07-24T15:03:19Z</dcterms:modified>
</cp:coreProperties>
</file>