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Z:\2-GESTION DE COMPRAS Y PROCESOS\10-MARCOS FABIAN\Comparación de Precios\Obras\Presupuestos editables\"/>
    </mc:Choice>
  </mc:AlternateContent>
  <bookViews>
    <workbookView xWindow="0" yWindow="0" windowWidth="14625" windowHeight="11895" tabRatio="807"/>
  </bookViews>
  <sheets>
    <sheet name="PRESUPUESTO" sheetId="28" r:id="rId1"/>
    <sheet name="Brig" sheetId="13" state="hidden" r:id="rId2"/>
    <sheet name="madera" sheetId="14" state="hidden" r:id="rId3"/>
    <sheet name="caseta materiales" sheetId="16" state="hidden" r:id="rId4"/>
    <sheet name="otros" sheetId="17" state="hidden" r:id="rId5"/>
    <sheet name="ana A1" sheetId="25" state="hidden" r:id="rId6"/>
    <sheet name="ALOJAMIENTO A" sheetId="1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4" localSheetId="1">#REF!</definedName>
    <definedName name="\4" localSheetId="0">#REF!</definedName>
    <definedName name="\4">#REF!</definedName>
    <definedName name="\6" localSheetId="1">#REF!</definedName>
    <definedName name="\6" localSheetId="0">#REF!</definedName>
    <definedName name="\6">#REF!</definedName>
    <definedName name="\A" localSheetId="1">#REF!</definedName>
    <definedName name="\A" localSheetId="0">#REF!</definedName>
    <definedName name="\A">#REF!</definedName>
    <definedName name="\E" localSheetId="1">#REF!</definedName>
    <definedName name="\E" localSheetId="0">#REF!</definedName>
    <definedName name="\E">#REF!</definedName>
    <definedName name="\I" localSheetId="1">#REF!</definedName>
    <definedName name="\I" localSheetId="0">#REF!</definedName>
    <definedName name="\I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\U" localSheetId="1">#REF!</definedName>
    <definedName name="\U" localSheetId="0">#REF!</definedName>
    <definedName name="\U">#REF!</definedName>
    <definedName name="__IntlFixup" hidden="1">TRUE</definedName>
    <definedName name="_k1">[1]Precios!$A$4:$F$1576</definedName>
    <definedName name="_k2">[2]Precios!$A$4:$F$1576</definedName>
    <definedName name="_k3">[1]Precios!$A$4:$F$1576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'[3]Trabajos Generales'!$F$4</definedName>
    <definedName name="acarreo" localSheetId="0">'[4]Listado Equipos a utilizar'!#REF!</definedName>
    <definedName name="acarreo">'[4]Listado Equipos a utilizar'!#REF!</definedName>
    <definedName name="acero1" localSheetId="0">#REF!</definedName>
    <definedName name="acero1">#REF!</definedName>
    <definedName name="acerog40">[5]MATERIALES!$G$7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tividad" localSheetId="0">#REF!</definedName>
    <definedName name="Actividad">#REF!</definedName>
    <definedName name="adm">'[6]Resumen Precio Equipos'!$C$28</definedName>
    <definedName name="ADMINISTRATIVOS" localSheetId="0">#REF!</definedName>
    <definedName name="ADMINISTRATIVOS">#REF!</definedName>
    <definedName name="agricola" localSheetId="0">'[4]Listado Equipos a utilizar'!#REF!</definedName>
    <definedName name="agricola">'[4]Listado Equipos a utilizar'!#REF!</definedName>
    <definedName name="aguarras" localSheetId="0">#REF!</definedName>
    <definedName name="aguarras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18">[5]MATERIALES!$G$10</definedName>
    <definedName name="ANAL_REV.CER" localSheetId="1">#REF!</definedName>
    <definedName name="ANAL_REV.CER" localSheetId="0">#REF!</definedName>
    <definedName name="ANAL_REV.CER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_xlnm.Print_Area" localSheetId="6">'ALOJAMIENTO A'!$A$1:$G$624</definedName>
    <definedName name="_xlnm.Print_Area" localSheetId="1">Brig!$A$1:$E$366</definedName>
    <definedName name="_xlnm.Print_Area" localSheetId="0">PRESUPUESTO!$A$1:$G$223</definedName>
    <definedName name="arenabca" localSheetId="0">#REF!</definedName>
    <definedName name="arenabca">#REF!</definedName>
    <definedName name="arenafina">[5]MATERIALES!$G$11</definedName>
    <definedName name="arenaitabo">[5]MATERIALES!$G$12</definedName>
    <definedName name="arenalavada">[5]MATERIALES!$G$13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'[4]Listado Equipos a utilizar'!#REF!</definedName>
    <definedName name="arranque">'[4]Listado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yoperador" localSheetId="0">#REF!</definedName>
    <definedName name="ayoperador">#REF!</definedName>
    <definedName name="ayudcadenero">[5]OBRAMANO!$F$67</definedName>
    <definedName name="b">'[3]Trabajos Generales'!$C$8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O58">'[7]Listados de materiales  IHS'!$C$872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loques4" localSheetId="0">[5]MATERIALES!#REF!</definedName>
    <definedName name="bloques4">[5]MATERIALES!#REF!</definedName>
    <definedName name="bloques6" localSheetId="0">[5]MATERIALES!#REF!</definedName>
    <definedName name="bloques6">[5]MATERIALES!#REF!</definedName>
    <definedName name="bloques8" localSheetId="0">[5]MATERIALES!#REF!</definedName>
    <definedName name="bloques8">[5]MATERIALES!#REF!</definedName>
    <definedName name="brochas" localSheetId="0">#REF!</definedName>
    <definedName name="brochas">#REF!</definedName>
    <definedName name="cadeneros" localSheetId="0">'[6]O.M. y Salarios'!#REF!</definedName>
    <definedName name="cadeneros">'[6]O.M. y Salarios'!#REF!</definedName>
    <definedName name="camioncama" localSheetId="0">'[4]Listado Equipos a utilizar'!#REF!</definedName>
    <definedName name="camioncama">'[4]Listado Equipos a utilizar'!#REF!</definedName>
    <definedName name="camioneta" localSheetId="0">'[4]Listado Equipos a utilizar'!#REF!</definedName>
    <definedName name="camioneta">'[4]Listado Equipos a utilizar'!#REF!</definedName>
    <definedName name="CAMIONVOLTEO">[5]EQUIPOS!$I$19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tazequipo">[5]OBRAMANO!$F$81</definedName>
    <definedName name="cargador" localSheetId="0">'[4]Listado Equipos a utilizar'!#REF!</definedName>
    <definedName name="cargador">'[4]Listado Equipos a utilizar'!#REF!</definedName>
    <definedName name="CARGADORB">[8]EQUIPOS!$D$13</definedName>
    <definedName name="CAT214BFT">[5]EQUIPOS!$I$15</definedName>
    <definedName name="Cat950B">[5]EQUIPOS!$I$14</definedName>
    <definedName name="cementoblanco" localSheetId="0">[5]MATERIALES!#REF!</definedName>
    <definedName name="cementoblanco">[5]MATERIALES!#REF!</definedName>
    <definedName name="cementogris">[5]MATERIALES!$G$17</definedName>
    <definedName name="CEPVCO16">'[7]Listados de materiales  IHS'!$C$834</definedName>
    <definedName name="ceramcr33" localSheetId="0">[5]MATERIALES!#REF!</definedName>
    <definedName name="ceramcr33">[5]MATERIALES!#REF!</definedName>
    <definedName name="ceramcriolla" localSheetId="0">[5]MATERIALES!#REF!</definedName>
    <definedName name="ceramcriolla">[5]MATERIALES!#REF!</definedName>
    <definedName name="ceramicaitalia" localSheetId="0">[5]MATERIALES!#REF!</definedName>
    <definedName name="ceramicaitalia">[5]MATERIALES!#REF!</definedName>
    <definedName name="ceramicaitaliapared" localSheetId="0">[5]MATERIALES!#REF!</definedName>
    <definedName name="ceramicaitaliapared">[5]MATERIALES!#REF!</definedName>
    <definedName name="ceramicaitalipared" localSheetId="0">[5]MATERIALES!#REF!</definedName>
    <definedName name="ceramicaitalipared">[5]MATERIALES!#REF!</definedName>
    <definedName name="cfrontal">'[6]Resumen Precio Equipos'!$I$16</definedName>
    <definedName name="chazo" localSheetId="0">[5]OBRAMANO!#REF!</definedName>
    <definedName name="chazo">[5]OBRAMANO!#REF!</definedName>
    <definedName name="chilena" localSheetId="0">#REF!</definedName>
    <definedName name="chilena">#REF!</definedName>
    <definedName name="Chofercisterna">[5]OBRAMANO!$F$79</definedName>
    <definedName name="cisterna">'[4]Listado Equipos a utilizar'!$I$11</definedName>
    <definedName name="clavos" localSheetId="0">#REF!</definedName>
    <definedName name="clavos">#REF!</definedName>
    <definedName name="colorante" localSheetId="0">#REF!</definedName>
    <definedName name="colorante">#REF!</definedName>
    <definedName name="Compresores">[5]EQUIPOS!$I$28</definedName>
    <definedName name="coronado" localSheetId="0">#REF!</definedName>
    <definedName name="coronado">#REF!</definedName>
    <definedName name="COSTO" localSheetId="0">#REF!</definedName>
    <definedName name="COSTO">#REF!</definedName>
    <definedName name="cprestamo">[8]EQUIPOS!$D$27</definedName>
    <definedName name="CSDR15090D">'[7]Listados de materiales  IHS'!$C$285</definedName>
    <definedName name="Cuadro_Resumen" localSheetId="0">#REF!</definedName>
    <definedName name="Cuadro_Resumen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d" localSheetId="0">#REF!</definedName>
    <definedName name="d">#REF!</definedName>
    <definedName name="D7H">[5]EQUIPOS!$I$9</definedName>
    <definedName name="D8K">[5]EQUIPOS!$I$8</definedName>
    <definedName name="d8r" localSheetId="0">'[4]Listado Equipos a utilizar'!#REF!</definedName>
    <definedName name="d8r">'[4]Listado Equipos a utilizar'!#REF!</definedName>
    <definedName name="D8T">'[6]Resumen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istribuidor">'[4]Listado Equipos a utilizar'!$I$12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'[6]Resumen Precio Equipos'!$C$27</definedName>
    <definedName name="dulce" localSheetId="0">#REF!</definedName>
    <definedName name="dulce">#REF!</definedName>
    <definedName name="DYNACA25">[5]EQUIPOS!$I$13</definedName>
    <definedName name="e214bft" localSheetId="0">'[4]Listado Equipos a utilizar'!#REF!</definedName>
    <definedName name="e214bft">'[4]Listado Equipos a utilizar'!#REF!</definedName>
    <definedName name="e320b" localSheetId="0">'[4]Listado Equipos a utilizar'!#REF!</definedName>
    <definedName name="e320b">'[4]Listado Equipos a utilizar'!#REF!</definedName>
    <definedName name="Encache">[5]OBRAMANO!$F$43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'[4]Listado Equipos a utilizar'!#REF!</definedName>
    <definedName name="eqacero">'[4]Listado Equipos a utilizar'!#REF!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es" localSheetId="0">'[4]Listado Equipos a utilizar'!#REF!</definedName>
    <definedName name="escobillones">'[4]Listado Equipos a utilizar'!#REF!</definedName>
    <definedName name="ex320b" localSheetId="0">'[4]Listado Equipos a utilizar'!#REF!</definedName>
    <definedName name="ex320b">'[4]Listado Equipos a utilizar'!#REF!</definedName>
    <definedName name="EXC_NO_CLASIF" localSheetId="0">#REF!</definedName>
    <definedName name="EXC_NO_CLASIF">#REF!</definedName>
    <definedName name="excavadora" localSheetId="0">'[4]Listado Equipos a utilizar'!#REF!</definedName>
    <definedName name="excavadora">'[4]Listado Equipos a utilizar'!#REF!</definedName>
    <definedName name="excavadora235">[5]EQUIPOS!$I$16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F" localSheetId="0" hidden="1">#REF!</definedName>
    <definedName name="FF" hidden="1">#REF!</definedName>
    <definedName name="gasolina" localSheetId="0">#REF!</definedName>
    <definedName name="gasolina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[5]MATERIALES!$G$32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RADER12G">[5]EQUIPOS!$I$11</definedName>
    <definedName name="graderm" localSheetId="0">'[4]Listado Equipos a utilizar'!#REF!</definedName>
    <definedName name="graderm">'[4]Listado Equipos a utilizar'!#REF!</definedName>
    <definedName name="H5PMO">'[7]Mano de obra IHS'!$C$436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ilo" localSheetId="0">#REF!</definedName>
    <definedName name="hilo">#REF!</definedName>
    <definedName name="HORMIGON140" localSheetId="0">[5]ANALPRECVI!#REF!</definedName>
    <definedName name="HORMIGON140">[5]ANALPRECVI!#REF!</definedName>
    <definedName name="Hormigon240i" localSheetId="0">[5]MATERIALES!#REF!</definedName>
    <definedName name="Hormigon240i">[5]MATERIALES!#REF!</definedName>
    <definedName name="IMPERM." localSheetId="1">#REF!</definedName>
    <definedName name="IMPERM." localSheetId="0">#REF!</definedName>
    <definedName name="IMPERM.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i" localSheetId="0">#REF!</definedName>
    <definedName name="ini">#REF!</definedName>
    <definedName name="itabo" localSheetId="0">#REF!</definedName>
    <definedName name="itabo">#REF!</definedName>
    <definedName name="jminimo" localSheetId="0">#REF!</definedName>
    <definedName name="jminimo">#REF!</definedName>
    <definedName name="k" localSheetId="0">#REF!</definedName>
    <definedName name="k">#REF!</definedName>
    <definedName name="kerosene" localSheetId="0">#REF!</definedName>
    <definedName name="kerosene">#REF!</definedName>
    <definedName name="Kilometro">[5]EQUIPOS!$I$25</definedName>
    <definedName name="komatsu" localSheetId="0">'[4]Listado Equipos a utilizar'!#REF!</definedName>
    <definedName name="komatsu">'[4]Listado Equipos a utilizar'!#REF!</definedName>
    <definedName name="ligadohormigon" localSheetId="0">[5]OBRAMANO!#REF!</definedName>
    <definedName name="ligadohormigon">[5]OBRAMANO!#REF!</definedName>
    <definedName name="ligadora" localSheetId="0">'[4]Listado Equipos a utilizar'!#REF!</definedName>
    <definedName name="ligadora">'[4]Listado Equipos a utilizar'!#REF!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ubricantes">[9]Materiales!$K$15</definedName>
    <definedName name="Luces" localSheetId="0">#REF!</definedName>
    <definedName name="Luces">#REF!</definedName>
    <definedName name="MACO">[5]EQUIPOS!$I$21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'[4]Listado Equipos a utilizar'!#REF!</definedName>
    <definedName name="maquito">'[4]Listado Equipos a utilizar'!#REF!</definedName>
    <definedName name="martillo" localSheetId="0">#REF!</definedName>
    <definedName name="martillo">#REF!</definedName>
    <definedName name="MAT_ACERO" localSheetId="1">#REF!</definedName>
    <definedName name="MAT_ACERO" localSheetId="0">#REF!</definedName>
    <definedName name="MAT_ACERO">#REF!</definedName>
    <definedName name="MAT_AGREGADOS" localSheetId="1">#REF!</definedName>
    <definedName name="MAT_AGREGADOS" localSheetId="0">#REF!</definedName>
    <definedName name="MAT_AGREGADOS">#REF!</definedName>
    <definedName name="MAT_BLOQUES" localSheetId="1">#REF!</definedName>
    <definedName name="MAT_BLOQUES" localSheetId="0">#REF!</definedName>
    <definedName name="MAT_BLOQUES">#REF!</definedName>
    <definedName name="MAT_CARP." localSheetId="1">#REF!</definedName>
    <definedName name="MAT_CARP." localSheetId="0">#REF!</definedName>
    <definedName name="MAT_CARP.">#REF!</definedName>
    <definedName name="MAT_CEMENTOS" localSheetId="1">#REF!</definedName>
    <definedName name="MAT_CEMENTOS" localSheetId="0">#REF!</definedName>
    <definedName name="MAT_CEMENTOS">#REF!</definedName>
    <definedName name="MAT_CERRAJ." localSheetId="1">#REF!</definedName>
    <definedName name="MAT_CERRAJ." localSheetId="0">#REF!</definedName>
    <definedName name="MAT_CERRAJ.">#REF!</definedName>
    <definedName name="MAT_HORM._I" localSheetId="1">#REF!</definedName>
    <definedName name="MAT_HORM._I" localSheetId="0">#REF!</definedName>
    <definedName name="MAT_HORM._I">#REF!</definedName>
    <definedName name="MAT_MOVTO_TIERR" localSheetId="1">#REF!</definedName>
    <definedName name="MAT_MOVTO_TIERR" localSheetId="0">#REF!</definedName>
    <definedName name="MAT_MOVTO_TIERR">#REF!</definedName>
    <definedName name="MAT_PINTURA" localSheetId="1">#REF!</definedName>
    <definedName name="MAT_PINTURA" localSheetId="0">#REF!</definedName>
    <definedName name="MAT_PINTURA">#REF!</definedName>
    <definedName name="MAT_PINTURAS" localSheetId="1">#REF!</definedName>
    <definedName name="MAT_PINTURAS" localSheetId="0">#REF!</definedName>
    <definedName name="MAT_PINTURAS">#REF!</definedName>
    <definedName name="MAT_PLAFONES" localSheetId="1">#REF!</definedName>
    <definedName name="MAT_PLAFONES" localSheetId="0">#REF!</definedName>
    <definedName name="MAT_PLAFONES">#REF!</definedName>
    <definedName name="MAT_REVEST." localSheetId="1">#REF!</definedName>
    <definedName name="MAT_REVEST." localSheetId="0">#REF!</definedName>
    <definedName name="MAT_REVEST.">#REF!</definedName>
    <definedName name="MAT_VENTANAS" localSheetId="1">#REF!</definedName>
    <definedName name="MAT_VENTANAS" localSheetId="0">#REF!</definedName>
    <definedName name="MAT_VENTANAS">#REF!</definedName>
    <definedName name="MATAPU" localSheetId="0">#REF!</definedName>
    <definedName name="MATAPU">#REF!</definedName>
    <definedName name="MATAPU1">'[10]Analisis Comunes'!$A$4:$I$1436</definedName>
    <definedName name="MATELEC" localSheetId="0">#REF!</definedName>
    <definedName name="MATELEC">#REF!</definedName>
    <definedName name="MATREC" localSheetId="0">#REF!</definedName>
    <definedName name="MATREC">#REF!</definedName>
    <definedName name="MBR" localSheetId="0">#REF!</definedName>
    <definedName name="MBR">#REF!</definedName>
    <definedName name="MOCBM100">'[7]Mano de obra IHS'!$C$79</definedName>
    <definedName name="MOCSO">'[7]Mano de obra IHS'!$C$437</definedName>
    <definedName name="MOPEPVC150">'[7]Mano de obra IHS'!$C$316</definedName>
    <definedName name="MOTI">'[7]Mano de obra IHS'!$C$435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ssan" localSheetId="0">'[4]Listado Equipos a utilizar'!#REF!</definedName>
    <definedName name="nissan">'[4]Listado Equipos a utilizar'!#REF!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MANO" localSheetId="1">#REF!</definedName>
    <definedName name="OBRA_MANO" localSheetId="0">#REF!</definedName>
    <definedName name="OBRA_MANO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'[6]O.M. y Salarios'!#REF!</definedName>
    <definedName name="omencofrado">'[6]O.M. y Salarios'!#REF!</definedName>
    <definedName name="opala">[9]Salarios!$D$16</definedName>
    <definedName name="Operadorgrader">[5]OBRAMANO!$F$74</definedName>
    <definedName name="operadorpala">[5]OBRAMANO!$F$72</definedName>
    <definedName name="operadorretro">[5]OBRAMANO!$F$77</definedName>
    <definedName name="operadorrodillo">[5]OBRAMANO!$F$75</definedName>
    <definedName name="operadortractor">[5]OBRAMANO!$F$76</definedName>
    <definedName name="otractor">[9]Salarios!$D$14</definedName>
    <definedName name="pala" localSheetId="0">#REF!</definedName>
    <definedName name="pala">#REF!</definedName>
    <definedName name="peon">'[6]O.M. y Salarios'!$G$39</definedName>
    <definedName name="pico" localSheetId="0">#REF!</definedName>
    <definedName name="pico">#REF!</definedName>
    <definedName name="pinobruto">[5]MATERIALES!$G$33</definedName>
    <definedName name="pinturas" localSheetId="0">#REF!</definedName>
    <definedName name="pinturas">#REF!</definedName>
    <definedName name="Placas2" localSheetId="0">#REF!</definedName>
    <definedName name="Placas2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2">[11]Precios!$A$4:$F$1576</definedName>
    <definedName name="precios">[12]Precios!$A$4:$F$1576</definedName>
    <definedName name="precios2">[11]Precios!$A$4:$F$1576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S_DESAGUES" localSheetId="1">#REF!</definedName>
    <definedName name="PRES_DESAGUES" localSheetId="0">#REF!</definedName>
    <definedName name="PRES_DESAGUES">#REF!</definedName>
    <definedName name="PRES_ESCALERAS" localSheetId="1">#REF!</definedName>
    <definedName name="PRES_ESCALERAS" localSheetId="0">#REF!</definedName>
    <definedName name="PRES_ESCALERAS">#REF!</definedName>
    <definedName name="PRES_FINO" localSheetId="1">#REF!</definedName>
    <definedName name="PRES_FINO" localSheetId="0">#REF!</definedName>
    <definedName name="PRES_FINO">#REF!</definedName>
    <definedName name="PRES_GASTOS" localSheetId="1">#REF!</definedName>
    <definedName name="PRES_GASTOS" localSheetId="0">#REF!</definedName>
    <definedName name="PRES_GASTOS">#REF!</definedName>
    <definedName name="PRES_HORMIGON" localSheetId="1">#REF!</definedName>
    <definedName name="PRES_HORMIGON" localSheetId="0">#REF!</definedName>
    <definedName name="PRES_HORMIGON">#REF!</definedName>
    <definedName name="PRES_M._TIERRAS" localSheetId="1">#REF!</definedName>
    <definedName name="PRES_M._TIERRAS" localSheetId="0">#REF!</definedName>
    <definedName name="PRES_M._TIERRAS">#REF!</definedName>
    <definedName name="PRES_MISCEL." localSheetId="1">#REF!</definedName>
    <definedName name="PRES_MISCEL." localSheetId="0">#REF!</definedName>
    <definedName name="PRES_MISCEL.">#REF!</definedName>
    <definedName name="PRES_MUROS" localSheetId="1">#REF!</definedName>
    <definedName name="PRES_MUROS" localSheetId="0">#REF!</definedName>
    <definedName name="PRES_MUROS">#REF!</definedName>
    <definedName name="PRES_OTROS" localSheetId="1">#REF!</definedName>
    <definedName name="PRES_OTROS" localSheetId="0">#REF!</definedName>
    <definedName name="PRES_OTROS">#REF!</definedName>
    <definedName name="PRES_PAÑETE" localSheetId="1">#REF!</definedName>
    <definedName name="PRES_PAÑETE" localSheetId="0">#REF!</definedName>
    <definedName name="PRES_PAÑETE">#REF!</definedName>
    <definedName name="PRES_PINTURAS" localSheetId="1">#REF!</definedName>
    <definedName name="PRES_PINTURAS" localSheetId="0">#REF!</definedName>
    <definedName name="PRES_PINTURAS">#REF!</definedName>
    <definedName name="PRES_PISOS" localSheetId="1">#REF!</definedName>
    <definedName name="PRES_PISOS" localSheetId="0">#REF!</definedName>
    <definedName name="PRES_PISOS">#REF!</definedName>
    <definedName name="PRES_PLAFONES" localSheetId="1">#REF!</definedName>
    <definedName name="PRES_PLAFONES" localSheetId="0">#REF!</definedName>
    <definedName name="PRES_PLAFONES">#REF!</definedName>
    <definedName name="PRES_REPLANTEO" localSheetId="1">#REF!</definedName>
    <definedName name="PRES_REPLANTEO" localSheetId="0">#REF!</definedName>
    <definedName name="PRES_REPLANTEO">#REF!</definedName>
    <definedName name="PRES_REVEST." localSheetId="1">#REF!</definedName>
    <definedName name="PRES_REVEST." localSheetId="0">#REF!</definedName>
    <definedName name="PRES_REVEST.">#REF!</definedName>
    <definedName name="PRES_TOTAL" localSheetId="1">#REF!</definedName>
    <definedName name="PRES_TOTAL" localSheetId="0">#REF!</definedName>
    <definedName name="PRES_TOTAL">#REF!</definedName>
    <definedName name="PRES_VENTANAS" localSheetId="1">#REF!</definedName>
    <definedName name="PRES_VENTANAS" localSheetId="0">#REF!</definedName>
    <definedName name="PRES_VENTANAS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rastra" localSheetId="0">'[4]Listado Equipos a utilizar'!#REF!</definedName>
    <definedName name="rastra">'[4]Listado Equipos a utilizar'!#REF!</definedName>
    <definedName name="rastrapuas" localSheetId="0">'[4]Listado Equipos a utilizar'!#REF!</definedName>
    <definedName name="rastrapuas">'[4]Listado Equipos a utilizar'!#REF!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ITUN4010">'[7]Listados de materiales  IHS'!$C$878</definedName>
    <definedName name="rodillo" localSheetId="0">'[4]Listado Equipos a utilizar'!#REF!</definedName>
    <definedName name="rodillo">'[4]Listado Equipos a utilizar'!#REF!</definedName>
    <definedName name="rodneu" localSheetId="0">'[4]Listado Equipos a utilizar'!#REF!</definedName>
    <definedName name="rodneu">'[4]Listado Equipos a utilizar'!#REF!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DFSDD" localSheetId="0">#REF!</definedName>
    <definedName name="SDFSDD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olvente" localSheetId="0">#REF!</definedName>
    <definedName name="solvente">#REF!</definedName>
    <definedName name="SOTU150">'[7]Listados de materiales  IHS'!$C$844</definedName>
    <definedName name="SUMINISTROS" localSheetId="0">#REF!</definedName>
    <definedName name="SUMINISTROS">#REF!</definedName>
    <definedName name="TEEPVC150D">'[7]Listados de materiales  IHS'!$C$296</definedName>
    <definedName name="tetuii" localSheetId="0">#REF!</definedName>
    <definedName name="tetuii">#REF!</definedName>
    <definedName name="_xlnm.Print_Titles" localSheetId="6">'ALOJAMIENTO A'!$1:$9</definedName>
    <definedName name="_xlnm.Print_Titles" localSheetId="0">PRESUPUESTO!$1:$10</definedName>
    <definedName name="tiza" localSheetId="0">#REF!</definedName>
    <definedName name="tiza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RACTORD">[8]EQUIPOS!$D$14</definedName>
    <definedName name="tractorm" localSheetId="0">'[4]Listado Equipos a utilizar'!#REF!</definedName>
    <definedName name="tractorm">'[4]Listado Equipos a utilizar'!#REF!</definedName>
    <definedName name="transpasf" localSheetId="0">'[4]Listado Equipos a utilizar'!#REF!</definedName>
    <definedName name="transpasf">'[4]Listado Equipos a utilizar'!#REF!</definedName>
    <definedName name="transporte">'[6]Resumen Precio Equipos'!$C$30</definedName>
    <definedName name="truct" localSheetId="0">[6]Materiales!#REF!</definedName>
    <definedName name="truct">[6]Materiales!#REF!</definedName>
    <definedName name="TSDR41150">'[7]Listados de materiales  IHS'!$C$279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UERCA58">'[7]Listados de materiales  IHS'!$C$820</definedName>
    <definedName name="Varilla" localSheetId="0">#REF!</definedName>
    <definedName name="Varilla">#REF!</definedName>
    <definedName name="volteobote" localSheetId="0">'[4]Listado Equipos a utilizar'!#REF!</definedName>
    <definedName name="volteobote">'[4]Listado Equipos a utilizar'!#REF!</definedName>
    <definedName name="volteobotela" localSheetId="0">'[4]Listado Equipos a utilizar'!#REF!</definedName>
    <definedName name="volteobotela">'[4]Listado Equipos a utilizar'!#REF!</definedName>
    <definedName name="volteobotelargo" localSheetId="0">'[4]Listado Equipos a utilizar'!#REF!</definedName>
    <definedName name="volteobotelargo">'[4]Listado Equipos a utilizar'!#REF!</definedName>
    <definedName name="VXCSD" localSheetId="0">#REF!</definedName>
    <definedName name="VXCSD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8" i="28" l="1"/>
  <c r="F55" i="28"/>
  <c r="F95" i="28"/>
  <c r="F128" i="28" l="1"/>
  <c r="F88" i="28"/>
  <c r="F48" i="28" l="1"/>
  <c r="F20" i="28"/>
  <c r="F104" i="28"/>
  <c r="F162" i="28" l="1"/>
  <c r="F163" i="28"/>
  <c r="F152" i="28"/>
  <c r="F105" i="28"/>
  <c r="F66" i="28"/>
  <c r="F170" i="28" l="1"/>
  <c r="F172" i="28"/>
  <c r="F169" i="28" l="1"/>
  <c r="F171" i="28"/>
  <c r="F16" i="28" l="1"/>
  <c r="F17" i="28"/>
  <c r="F103" i="28" l="1"/>
  <c r="G105" i="28" s="1"/>
  <c r="F100" i="28"/>
  <c r="F97" i="28"/>
  <c r="F96" i="28"/>
  <c r="F151" i="28"/>
  <c r="F71" i="28"/>
  <c r="F65" i="28"/>
  <c r="F148" i="28" l="1"/>
  <c r="F82" i="28"/>
  <c r="F98" i="28"/>
  <c r="F86" i="28"/>
  <c r="F78" i="28"/>
  <c r="F77" i="28"/>
  <c r="G78" i="28" l="1"/>
  <c r="F84" i="28"/>
  <c r="F92" i="28"/>
  <c r="F81" i="28"/>
  <c r="F64" i="28"/>
  <c r="G66" i="28" s="1"/>
  <c r="F61" i="28"/>
  <c r="F150" i="28"/>
  <c r="G152" i="28" s="1"/>
  <c r="F179" i="28"/>
  <c r="G179" i="28" s="1"/>
  <c r="A18" i="28"/>
  <c r="F60" i="28"/>
  <c r="F146" i="28"/>
  <c r="F21" i="28"/>
  <c r="F22" i="28"/>
  <c r="A23" i="28" l="1"/>
  <c r="F90" i="28"/>
  <c r="F91" i="28"/>
  <c r="F174" i="28"/>
  <c r="F173" i="28"/>
  <c r="F140" i="28"/>
  <c r="F144" i="28"/>
  <c r="G174" i="28" l="1"/>
  <c r="G92" i="28"/>
  <c r="A28" i="28"/>
  <c r="A24" i="28"/>
  <c r="A36" i="28" l="1"/>
  <c r="A39" i="28" s="1"/>
  <c r="A29" i="28"/>
  <c r="A40" i="28" l="1"/>
  <c r="A41" i="28" s="1"/>
  <c r="A42" i="28" s="1"/>
  <c r="A43" i="28" s="1"/>
  <c r="A44" i="28" s="1"/>
  <c r="A45" i="28"/>
  <c r="A30" i="28"/>
  <c r="A31" i="28" s="1"/>
  <c r="A32" i="28" s="1"/>
  <c r="A33" i="28" s="1"/>
  <c r="A34" i="28" s="1"/>
  <c r="A35" i="28" s="1"/>
  <c r="F143" i="28"/>
  <c r="G144" i="28" s="1"/>
  <c r="F110" i="28"/>
  <c r="F57" i="28"/>
  <c r="F19" i="28"/>
  <c r="G22" i="28" s="1"/>
  <c r="A19" i="28"/>
  <c r="A20" i="28" s="1"/>
  <c r="A21" i="28" s="1"/>
  <c r="F15" i="28"/>
  <c r="G17" i="28" s="1"/>
  <c r="A15" i="28"/>
  <c r="A49" i="28" l="1"/>
  <c r="A53" i="28" s="1"/>
  <c r="A59" i="28" s="1"/>
  <c r="A63" i="28" s="1"/>
  <c r="A46" i="28"/>
  <c r="A47" i="28" s="1"/>
  <c r="A48" i="28" s="1"/>
  <c r="A16" i="28"/>
  <c r="A17" i="28" s="1"/>
  <c r="A22" i="28"/>
  <c r="A54" i="28" l="1"/>
  <c r="A55" i="28" s="1"/>
  <c r="A56" i="28" s="1"/>
  <c r="A57" i="28" s="1"/>
  <c r="A58" i="28" s="1"/>
  <c r="A70" i="28"/>
  <c r="A64" i="28"/>
  <c r="A65" i="28" s="1"/>
  <c r="A66" i="28" s="1"/>
  <c r="A37" i="28"/>
  <c r="A38" i="28" s="1"/>
  <c r="A71" i="28" l="1"/>
  <c r="A72" i="28" s="1"/>
  <c r="A73" i="28" s="1"/>
  <c r="A74" i="28" s="1"/>
  <c r="A75" i="28" s="1"/>
  <c r="A76" i="28"/>
  <c r="A60" i="28"/>
  <c r="A61" i="28" s="1"/>
  <c r="A62" i="28" s="1"/>
  <c r="A50" i="28"/>
  <c r="A51" i="28" s="1"/>
  <c r="A52" i="28" s="1"/>
  <c r="A79" i="28" l="1"/>
  <c r="A85" i="28" s="1"/>
  <c r="A77" i="28"/>
  <c r="A78" i="28" s="1"/>
  <c r="A89" i="28" l="1"/>
  <c r="A86" i="28"/>
  <c r="A80" i="28"/>
  <c r="A81" i="28" s="1"/>
  <c r="A82" i="28" s="1"/>
  <c r="A83" i="28" l="1"/>
  <c r="A84" i="28" s="1"/>
  <c r="A87" i="28" s="1"/>
  <c r="A88" i="28" s="1"/>
  <c r="A93" i="28"/>
  <c r="A90" i="28"/>
  <c r="A91" i="28" s="1"/>
  <c r="A92" i="28" s="1"/>
  <c r="A94" i="28" l="1"/>
  <c r="A95" i="28" s="1"/>
  <c r="A96" i="28" s="1"/>
  <c r="A97" i="28" s="1"/>
  <c r="A98" i="28" s="1"/>
  <c r="A99" i="28"/>
  <c r="A102" i="28" l="1"/>
  <c r="A100" i="28"/>
  <c r="A101" i="28" s="1"/>
  <c r="A103" i="28" l="1"/>
  <c r="A104" i="28" s="1"/>
  <c r="A105" i="28" s="1"/>
  <c r="A109" i="28"/>
  <c r="A110" i="28" l="1"/>
  <c r="A111" i="28" s="1"/>
  <c r="A112" i="28" s="1"/>
  <c r="A113" i="28" s="1"/>
  <c r="A114" i="28" s="1"/>
  <c r="A115" i="28" s="1"/>
  <c r="A116" i="28"/>
  <c r="A119" i="28" l="1"/>
  <c r="A125" i="28" s="1"/>
  <c r="A117" i="28"/>
  <c r="A118" i="28" s="1"/>
  <c r="A126" i="28" l="1"/>
  <c r="A129" i="28"/>
  <c r="A120" i="28"/>
  <c r="A121" i="28" s="1"/>
  <c r="A122" i="28" s="1"/>
  <c r="A123" i="28" l="1"/>
  <c r="A124" i="28" s="1"/>
  <c r="A127" i="28" s="1"/>
  <c r="A128" i="28" s="1"/>
  <c r="A132" i="28"/>
  <c r="A133" i="28" s="1"/>
  <c r="A134" i="28" s="1"/>
  <c r="A135" i="28" s="1"/>
  <c r="A130" i="28"/>
  <c r="A131" i="28" s="1"/>
  <c r="A136" i="28" l="1"/>
  <c r="A137" i="28" s="1"/>
  <c r="A138" i="28" s="1"/>
  <c r="A139" i="28" s="1"/>
  <c r="A140" i="28" s="1"/>
  <c r="A141" i="28" s="1"/>
  <c r="A142" i="28" l="1"/>
  <c r="A145" i="28" s="1"/>
  <c r="A143" i="28" l="1"/>
  <c r="A144" i="28" s="1"/>
  <c r="A149" i="28"/>
  <c r="A156" i="28" s="1"/>
  <c r="A159" i="28" s="1"/>
  <c r="A146" i="28"/>
  <c r="A147" i="28" s="1"/>
  <c r="A148" i="28" s="1"/>
  <c r="A150" i="28" l="1"/>
  <c r="A151" i="28" s="1"/>
  <c r="A152" i="28" s="1"/>
  <c r="A157" i="28" l="1"/>
  <c r="A158" i="28" s="1"/>
  <c r="A168" i="28"/>
  <c r="A160" i="28"/>
  <c r="A161" i="28" s="1"/>
  <c r="A162" i="28" s="1"/>
  <c r="A163" i="28" s="1"/>
  <c r="A164" i="28" s="1"/>
  <c r="A169" i="28" l="1"/>
  <c r="A170" i="28" s="1"/>
  <c r="A171" i="28" s="1"/>
  <c r="A172" i="28" s="1"/>
  <c r="A173" i="28" s="1"/>
  <c r="A174" i="28" s="1"/>
  <c r="A178" i="28"/>
  <c r="A179" i="28" s="1"/>
  <c r="F131" i="28" l="1"/>
  <c r="J766" i="25" l="1"/>
  <c r="C782" i="25"/>
  <c r="J911" i="25"/>
  <c r="C911" i="25"/>
  <c r="C815" i="25"/>
  <c r="C818" i="25"/>
  <c r="J914" i="25"/>
  <c r="C914" i="25"/>
  <c r="F535" i="18" l="1"/>
  <c r="F534" i="18"/>
  <c r="F533" i="18"/>
  <c r="F532" i="18"/>
  <c r="F531" i="18"/>
  <c r="F530" i="18"/>
  <c r="F519" i="18"/>
  <c r="F520" i="18"/>
  <c r="F521" i="18"/>
  <c r="F522" i="18"/>
  <c r="F523" i="18"/>
  <c r="F524" i="18"/>
  <c r="F525" i="18"/>
  <c r="F526" i="18"/>
  <c r="F527" i="18"/>
  <c r="F518" i="18"/>
  <c r="F514" i="18"/>
  <c r="F513" i="18"/>
  <c r="F512" i="18"/>
  <c r="F511" i="18"/>
  <c r="F510" i="18"/>
  <c r="F509" i="18"/>
  <c r="F508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5" i="18"/>
  <c r="F494" i="18"/>
  <c r="F493" i="18"/>
  <c r="F492" i="18"/>
  <c r="F491" i="18"/>
  <c r="F490" i="18"/>
  <c r="F489" i="18"/>
  <c r="F488" i="18"/>
  <c r="F487" i="18"/>
  <c r="F486" i="18"/>
  <c r="F483" i="18"/>
  <c r="F479" i="18"/>
  <c r="F478" i="18"/>
  <c r="F477" i="18"/>
  <c r="F476" i="18"/>
  <c r="F475" i="18"/>
  <c r="F474" i="18"/>
  <c r="F473" i="18"/>
  <c r="F472" i="18"/>
  <c r="F471" i="18"/>
  <c r="F470" i="18"/>
  <c r="F469" i="18"/>
  <c r="F468" i="18"/>
  <c r="F467" i="18"/>
  <c r="F466" i="18"/>
  <c r="F465" i="18"/>
  <c r="F464" i="18"/>
  <c r="F463" i="18"/>
  <c r="F462" i="18"/>
  <c r="F461" i="18"/>
  <c r="F460" i="18"/>
  <c r="F459" i="18"/>
  <c r="F458" i="18"/>
  <c r="F457" i="18"/>
  <c r="F456" i="18"/>
  <c r="F455" i="18"/>
  <c r="F454" i="18"/>
  <c r="F453" i="18"/>
  <c r="F452" i="18"/>
  <c r="F451" i="18"/>
  <c r="F450" i="18"/>
  <c r="F449" i="18"/>
  <c r="F448" i="18"/>
  <c r="A540" i="18"/>
  <c r="A410" i="18"/>
  <c r="A413" i="18" s="1"/>
  <c r="C536" i="18"/>
  <c r="F536" i="18" s="1"/>
  <c r="F586" i="18"/>
  <c r="F585" i="18"/>
  <c r="F584" i="18"/>
  <c r="F583" i="18"/>
  <c r="F582" i="18"/>
  <c r="F581" i="18"/>
  <c r="F578" i="18"/>
  <c r="F577" i="18"/>
  <c r="F576" i="18"/>
  <c r="F575" i="18"/>
  <c r="F574" i="18"/>
  <c r="F573" i="18"/>
  <c r="F572" i="18"/>
  <c r="F571" i="18"/>
  <c r="F570" i="18"/>
  <c r="F569" i="18"/>
  <c r="F568" i="18"/>
  <c r="F565" i="18"/>
  <c r="F564" i="18"/>
  <c r="F563" i="18"/>
  <c r="F562" i="18"/>
  <c r="F561" i="18"/>
  <c r="F560" i="18"/>
  <c r="F559" i="18"/>
  <c r="F558" i="18"/>
  <c r="F557" i="18"/>
  <c r="F556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445" i="18"/>
  <c r="F441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0" i="18"/>
  <c r="G536" i="18" l="1"/>
  <c r="A414" i="18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5" i="18" s="1"/>
  <c r="A448" i="18" s="1"/>
  <c r="A449" i="18" l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3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30" i="18" s="1"/>
  <c r="A531" i="18" s="1"/>
  <c r="A532" i="18" s="1"/>
  <c r="A533" i="18" s="1"/>
  <c r="A534" i="18" s="1"/>
  <c r="A535" i="18" s="1"/>
  <c r="A536" i="18" s="1"/>
  <c r="G586" i="18" l="1"/>
  <c r="A541" i="18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6" i="18" l="1"/>
  <c r="A557" i="18" s="1"/>
  <c r="A558" i="18" s="1"/>
  <c r="A559" i="18" s="1"/>
  <c r="A560" i="18" s="1"/>
  <c r="A561" i="18" s="1"/>
  <c r="A562" i="18" s="1"/>
  <c r="A563" i="18" s="1"/>
  <c r="A564" i="18" s="1"/>
  <c r="A565" i="18" s="1"/>
  <c r="C312" i="18"/>
  <c r="C311" i="18"/>
  <c r="C310" i="18"/>
  <c r="C209" i="18"/>
  <c r="C208" i="18"/>
  <c r="C207" i="18"/>
  <c r="C96" i="18"/>
  <c r="C94" i="18"/>
  <c r="C91" i="18"/>
  <c r="C92" i="18"/>
  <c r="C93" i="18"/>
  <c r="C95" i="18"/>
  <c r="A568" i="18" l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81" i="18" s="1"/>
  <c r="A582" i="18" s="1"/>
  <c r="A583" i="18" s="1"/>
  <c r="A584" i="18" s="1"/>
  <c r="A585" i="18" s="1"/>
  <c r="A586" i="18" s="1"/>
  <c r="F403" i="18"/>
  <c r="F343" i="18"/>
  <c r="F240" i="18"/>
  <c r="F129" i="18"/>
  <c r="F130" i="18"/>
  <c r="E140" i="18" l="1"/>
  <c r="E237" i="18"/>
  <c r="E344" i="18" l="1"/>
  <c r="F344" i="18" s="1"/>
  <c r="E242" i="18"/>
  <c r="E232" i="18"/>
  <c r="E335" i="18" s="1"/>
  <c r="E238" i="18"/>
  <c r="F238" i="18" s="1"/>
  <c r="E128" i="18"/>
  <c r="E241" i="18"/>
  <c r="H1159" i="25"/>
  <c r="F1134" i="25"/>
  <c r="F1135" i="25"/>
  <c r="F1136" i="25"/>
  <c r="F1137" i="25"/>
  <c r="F1138" i="25"/>
  <c r="F1139" i="25"/>
  <c r="F1140" i="25"/>
  <c r="F1141" i="25"/>
  <c r="F1142" i="25"/>
  <c r="F1143" i="25"/>
  <c r="F1144" i="25"/>
  <c r="F1133" i="25"/>
  <c r="H1144" i="25" l="1"/>
  <c r="H1145" i="25" s="1"/>
  <c r="F128" i="18"/>
  <c r="L735" i="25" l="1"/>
  <c r="E738" i="25" s="1"/>
  <c r="C737" i="25"/>
  <c r="C738" i="25" s="1"/>
  <c r="J734" i="25"/>
  <c r="L717" i="25"/>
  <c r="L718" i="25"/>
  <c r="J718" i="25"/>
  <c r="J719" i="25" s="1"/>
  <c r="M719" i="25"/>
  <c r="C871" i="25"/>
  <c r="C885" i="25"/>
  <c r="C883" i="25" s="1"/>
  <c r="C884" i="25" s="1"/>
  <c r="J871" i="25"/>
  <c r="J869" i="25" s="1"/>
  <c r="J870" i="25" s="1"/>
  <c r="C866" i="25"/>
  <c r="J866" i="25"/>
  <c r="C880" i="25"/>
  <c r="E872" i="25"/>
  <c r="M718" i="25" l="1"/>
  <c r="L734" i="25"/>
  <c r="E737" i="25" s="1"/>
  <c r="F737" i="25" s="1"/>
  <c r="F738" i="25"/>
  <c r="J735" i="25"/>
  <c r="M735" i="25" s="1"/>
  <c r="C869" i="25"/>
  <c r="M734" i="25" l="1"/>
  <c r="J715" i="25"/>
  <c r="J716" i="25" s="1"/>
  <c r="C870" i="25"/>
  <c r="J731" i="25" l="1"/>
  <c r="J732" i="25" s="1"/>
  <c r="J717" i="25"/>
  <c r="M717" i="25" s="1"/>
  <c r="C342" i="18"/>
  <c r="C242" i="18"/>
  <c r="C734" i="25" l="1"/>
  <c r="C735" i="25" s="1"/>
  <c r="J733" i="25"/>
  <c r="F242" i="18"/>
  <c r="C385" i="18"/>
  <c r="F385" i="18" s="1"/>
  <c r="C384" i="18"/>
  <c r="A388" i="18"/>
  <c r="F310" i="18"/>
  <c r="C309" i="18"/>
  <c r="F309" i="18" s="1"/>
  <c r="C308" i="18"/>
  <c r="C307" i="18"/>
  <c r="C306" i="18"/>
  <c r="C305" i="18"/>
  <c r="C304" i="18"/>
  <c r="C303" i="18"/>
  <c r="C324" i="18"/>
  <c r="C323" i="18"/>
  <c r="F313" i="18"/>
  <c r="F311" i="18"/>
  <c r="F312" i="18"/>
  <c r="C205" i="18"/>
  <c r="F205" i="18" s="1"/>
  <c r="C203" i="18"/>
  <c r="F203" i="18" s="1"/>
  <c r="C204" i="18"/>
  <c r="F204" i="18" s="1"/>
  <c r="C202" i="18"/>
  <c r="C201" i="18"/>
  <c r="F201" i="18" s="1"/>
  <c r="C206" i="18"/>
  <c r="F206" i="18" s="1"/>
  <c r="C90" i="18"/>
  <c r="F90" i="18" s="1"/>
  <c r="C221" i="18"/>
  <c r="C220" i="18"/>
  <c r="F210" i="18"/>
  <c r="E212" i="18"/>
  <c r="C736" i="25" l="1"/>
  <c r="C227" i="18"/>
  <c r="C330" i="18"/>
  <c r="C89" i="18" l="1"/>
  <c r="C88" i="18"/>
  <c r="C107" i="18"/>
  <c r="C106" i="18"/>
  <c r="F243" i="18"/>
  <c r="F106" i="18" l="1"/>
  <c r="F107" i="18"/>
  <c r="F207" i="18" l="1"/>
  <c r="F208" i="18"/>
  <c r="F209" i="18"/>
  <c r="E219" i="18" l="1"/>
  <c r="E315" i="18"/>
  <c r="C28" i="18"/>
  <c r="Q269" i="25"/>
  <c r="Q270" i="25" s="1"/>
  <c r="T270" i="25" s="1"/>
  <c r="Q254" i="25"/>
  <c r="T254" i="25" s="1"/>
  <c r="Q241" i="25"/>
  <c r="Q242" i="25" s="1"/>
  <c r="T242" i="25" s="1"/>
  <c r="C151" i="18"/>
  <c r="C253" i="18"/>
  <c r="E289" i="18"/>
  <c r="E198" i="18"/>
  <c r="E135" i="18"/>
  <c r="E134" i="18"/>
  <c r="E85" i="18"/>
  <c r="E322" i="18" l="1"/>
  <c r="E300" i="18"/>
  <c r="J166" i="25"/>
  <c r="T241" i="25"/>
  <c r="T269" i="25"/>
  <c r="Q255" i="25"/>
  <c r="T255" i="25" s="1"/>
  <c r="C34" i="18"/>
  <c r="J168" i="25" l="1"/>
  <c r="J167" i="25"/>
  <c r="Q239" i="25"/>
  <c r="Q240" i="25" s="1"/>
  <c r="E399" i="18" l="1"/>
  <c r="Q243" i="25"/>
  <c r="Q267" i="25"/>
  <c r="Q268" i="25" s="1"/>
  <c r="Q252" i="25"/>
  <c r="Q253" i="25" s="1"/>
  <c r="Q256" i="25" l="1"/>
  <c r="Q271" i="25"/>
  <c r="J858" i="25" l="1"/>
  <c r="C858" i="25"/>
  <c r="C844" i="25"/>
  <c r="J786" i="25"/>
  <c r="J844" i="25"/>
  <c r="C946" i="25"/>
  <c r="E858" i="25"/>
  <c r="E860" i="25"/>
  <c r="J856" i="25"/>
  <c r="J857" i="25" s="1"/>
  <c r="J853" i="25"/>
  <c r="C856" i="25"/>
  <c r="C853" i="25"/>
  <c r="E844" i="25"/>
  <c r="E846" i="25"/>
  <c r="C839" i="25"/>
  <c r="L788" i="25"/>
  <c r="C364" i="18"/>
  <c r="F127" i="18"/>
  <c r="C232" i="18"/>
  <c r="C335" i="18"/>
  <c r="C334" i="18"/>
  <c r="C231" i="18"/>
  <c r="C230" i="18"/>
  <c r="C125" i="18"/>
  <c r="F125" i="18" s="1"/>
  <c r="C126" i="18"/>
  <c r="F126" i="18" s="1"/>
  <c r="L858" i="25" l="1"/>
  <c r="M858" i="25" s="1"/>
  <c r="E871" i="25"/>
  <c r="F844" i="25"/>
  <c r="L860" i="25"/>
  <c r="E873" i="25"/>
  <c r="C333" i="18"/>
  <c r="J783" i="25"/>
  <c r="L844" i="25"/>
  <c r="M844" i="25" s="1"/>
  <c r="E946" i="25"/>
  <c r="F946" i="25" s="1"/>
  <c r="F858" i="25"/>
  <c r="C857" i="25"/>
  <c r="C842" i="25"/>
  <c r="L871" i="25" l="1"/>
  <c r="F871" i="25"/>
  <c r="E885" i="25"/>
  <c r="F885" i="25" s="1"/>
  <c r="E887" i="25"/>
  <c r="L873" i="25"/>
  <c r="C843" i="25"/>
  <c r="J784" i="25"/>
  <c r="J785" i="25"/>
  <c r="J854" i="25" l="1"/>
  <c r="C854" i="25"/>
  <c r="C840" i="25"/>
  <c r="C859" i="25" l="1"/>
  <c r="C860" i="25" s="1"/>
  <c r="F860" i="25" s="1"/>
  <c r="C855" i="25"/>
  <c r="C845" i="25"/>
  <c r="C846" i="25" s="1"/>
  <c r="F846" i="25" s="1"/>
  <c r="C841" i="25"/>
  <c r="J859" i="25"/>
  <c r="J860" i="25" s="1"/>
  <c r="M860" i="25" s="1"/>
  <c r="J855" i="25"/>
  <c r="A333" i="18"/>
  <c r="A334" i="18" s="1"/>
  <c r="A335" i="18" s="1"/>
  <c r="A230" i="18"/>
  <c r="A231" i="18" s="1"/>
  <c r="A232" i="18" s="1"/>
  <c r="C365" i="18"/>
  <c r="C273" i="18"/>
  <c r="C171" i="18"/>
  <c r="C114" i="18"/>
  <c r="F320" i="18"/>
  <c r="F317" i="18"/>
  <c r="A15" i="18"/>
  <c r="A20" i="18" s="1"/>
  <c r="A59" i="18" s="1"/>
  <c r="A67" i="18" s="1"/>
  <c r="A74" i="18" s="1"/>
  <c r="F324" i="18"/>
  <c r="F323" i="18"/>
  <c r="F221" i="18"/>
  <c r="F220" i="18"/>
  <c r="F96" i="18" l="1"/>
  <c r="F1085" i="25" l="1"/>
  <c r="L187" i="25" l="1"/>
  <c r="M187" i="25" s="1"/>
  <c r="J189" i="25"/>
  <c r="J190" i="25"/>
  <c r="M190" i="25" s="1"/>
  <c r="J191" i="25" l="1"/>
  <c r="M191" i="25" s="1"/>
  <c r="M189" i="25"/>
  <c r="C723" i="25" l="1"/>
  <c r="C710" i="25"/>
  <c r="J697" i="25"/>
  <c r="J684" i="25"/>
  <c r="J512" i="25"/>
  <c r="J499" i="25"/>
  <c r="C499" i="25"/>
  <c r="C486" i="25"/>
  <c r="C473" i="25"/>
  <c r="E459" i="25"/>
  <c r="C460" i="25"/>
  <c r="J486" i="25"/>
  <c r="J473" i="25"/>
  <c r="J460" i="25"/>
  <c r="L446" i="25"/>
  <c r="J447" i="25"/>
  <c r="E446" i="25"/>
  <c r="C447" i="25"/>
  <c r="J434" i="25"/>
  <c r="L433" i="25"/>
  <c r="J420" i="25"/>
  <c r="J407" i="25"/>
  <c r="L393" i="25"/>
  <c r="J394" i="25"/>
  <c r="C434" i="25"/>
  <c r="C420" i="25"/>
  <c r="C407" i="25"/>
  <c r="C394" i="25"/>
  <c r="E393" i="25"/>
  <c r="E406" i="25" s="1"/>
  <c r="L564" i="25"/>
  <c r="J564" i="25"/>
  <c r="J551" i="25"/>
  <c r="M551" i="25" s="1"/>
  <c r="J538" i="25"/>
  <c r="M538" i="25" s="1"/>
  <c r="J525" i="25"/>
  <c r="M525" i="25" s="1"/>
  <c r="L524" i="25"/>
  <c r="C551" i="25"/>
  <c r="C538" i="25"/>
  <c r="E525" i="25"/>
  <c r="E538" i="25" s="1"/>
  <c r="E551" i="25" s="1"/>
  <c r="C525" i="25"/>
  <c r="C512" i="25"/>
  <c r="F512" i="25" s="1"/>
  <c r="E511" i="25"/>
  <c r="C697" i="25"/>
  <c r="C698" i="25" s="1"/>
  <c r="F698" i="25" s="1"/>
  <c r="C684" i="25"/>
  <c r="C685" i="25" s="1"/>
  <c r="F685" i="25" s="1"/>
  <c r="E670" i="25"/>
  <c r="C671" i="25"/>
  <c r="C672" i="25" s="1"/>
  <c r="F672" i="25" s="1"/>
  <c r="C658" i="25"/>
  <c r="C659" i="25" s="1"/>
  <c r="C645" i="25"/>
  <c r="C646" i="25" s="1"/>
  <c r="C632" i="25"/>
  <c r="C633" i="25" s="1"/>
  <c r="C619" i="25"/>
  <c r="C620" i="25" s="1"/>
  <c r="J658" i="25"/>
  <c r="J659" i="25" s="1"/>
  <c r="E618" i="25"/>
  <c r="J645" i="25"/>
  <c r="J646" i="25" s="1"/>
  <c r="L631" i="25"/>
  <c r="J632" i="25"/>
  <c r="J633" i="25" s="1"/>
  <c r="J619" i="25"/>
  <c r="J604" i="25"/>
  <c r="J605" i="25" s="1"/>
  <c r="J591" i="25"/>
  <c r="J592" i="25" s="1"/>
  <c r="L577" i="25"/>
  <c r="J578" i="25"/>
  <c r="J579" i="25" s="1"/>
  <c r="C604" i="25"/>
  <c r="C605" i="25" s="1"/>
  <c r="C591" i="25"/>
  <c r="C592" i="25" s="1"/>
  <c r="E578" i="25"/>
  <c r="E592" i="25" s="1"/>
  <c r="E605" i="25" s="1"/>
  <c r="C577" i="25"/>
  <c r="C578" i="25" s="1"/>
  <c r="C564" i="25"/>
  <c r="C565" i="25" s="1"/>
  <c r="F565" i="25" s="1"/>
  <c r="L758" i="25"/>
  <c r="C771" i="25"/>
  <c r="J752" i="25"/>
  <c r="C766" i="25"/>
  <c r="C752" i="25"/>
  <c r="E759" i="25"/>
  <c r="C757" i="25"/>
  <c r="C755" i="25" s="1"/>
  <c r="C1122" i="25"/>
  <c r="C1123" i="25" s="1"/>
  <c r="C1111" i="25"/>
  <c r="C1112" i="25" s="1"/>
  <c r="E1110" i="25"/>
  <c r="E1059" i="25" s="1"/>
  <c r="L929" i="25"/>
  <c r="C931" i="25"/>
  <c r="C947" i="25"/>
  <c r="J946" i="25"/>
  <c r="J930" i="25"/>
  <c r="J845" i="25"/>
  <c r="J831" i="25"/>
  <c r="J818" i="25"/>
  <c r="J804" i="25"/>
  <c r="J771" i="25"/>
  <c r="J769" i="25" s="1"/>
  <c r="L497" i="25"/>
  <c r="E300" i="25"/>
  <c r="J380" i="25"/>
  <c r="M380" i="25" s="1"/>
  <c r="C364" i="25"/>
  <c r="F364" i="25" s="1"/>
  <c r="C337" i="25"/>
  <c r="C338" i="25" s="1"/>
  <c r="F338" i="25" s="1"/>
  <c r="C324" i="25"/>
  <c r="C325" i="25" s="1"/>
  <c r="F325" i="25" s="1"/>
  <c r="J338" i="25"/>
  <c r="M338" i="25" s="1"/>
  <c r="L328" i="25"/>
  <c r="L341" i="25" s="1"/>
  <c r="J325" i="25"/>
  <c r="M325" i="25" s="1"/>
  <c r="C281" i="25"/>
  <c r="C282" i="25" s="1"/>
  <c r="F282" i="25" s="1"/>
  <c r="C255" i="25"/>
  <c r="C256" i="25" s="1"/>
  <c r="F256" i="25" s="1"/>
  <c r="J282" i="25"/>
  <c r="J283" i="25" s="1"/>
  <c r="M283" i="25" s="1"/>
  <c r="J254" i="25"/>
  <c r="J255" i="25" s="1"/>
  <c r="M255" i="25" s="1"/>
  <c r="J366" i="25"/>
  <c r="J367" i="25" s="1"/>
  <c r="M367" i="25" s="1"/>
  <c r="J352" i="25"/>
  <c r="J353" i="25" s="1"/>
  <c r="M353" i="25" s="1"/>
  <c r="C311" i="25"/>
  <c r="C312" i="25" s="1"/>
  <c r="F312" i="25" s="1"/>
  <c r="C268" i="25"/>
  <c r="C269" i="25" s="1"/>
  <c r="F269" i="25" s="1"/>
  <c r="J269" i="25"/>
  <c r="J270" i="25" s="1"/>
  <c r="M270" i="25" s="1"/>
  <c r="J311" i="25"/>
  <c r="M311" i="25" s="1"/>
  <c r="J298" i="25"/>
  <c r="M298" i="25" s="1"/>
  <c r="J241" i="25"/>
  <c r="C351" i="25"/>
  <c r="C352" i="25" s="1"/>
  <c r="F352" i="25" s="1"/>
  <c r="C298" i="25"/>
  <c r="C299" i="25" s="1"/>
  <c r="F299" i="25" s="1"/>
  <c r="C241" i="25"/>
  <c r="C242" i="25" s="1"/>
  <c r="F242" i="25" s="1"/>
  <c r="E341" i="18"/>
  <c r="E236" i="18"/>
  <c r="E401" i="18" s="1"/>
  <c r="E235" i="18"/>
  <c r="E234" i="18"/>
  <c r="E337" i="18" s="1"/>
  <c r="E346" i="18"/>
  <c r="C79" i="18"/>
  <c r="C294" i="18"/>
  <c r="C192" i="18" l="1"/>
  <c r="E342" i="18"/>
  <c r="F342" i="18" s="1"/>
  <c r="E338" i="18"/>
  <c r="E404" i="18"/>
  <c r="E339" i="18"/>
  <c r="F241" i="25"/>
  <c r="F578" i="25"/>
  <c r="L579" i="25"/>
  <c r="L592" i="25" s="1"/>
  <c r="L605" i="25" s="1"/>
  <c r="L620" i="25" s="1"/>
  <c r="L633" i="25" s="1"/>
  <c r="F525" i="25"/>
  <c r="F605" i="25"/>
  <c r="F551" i="25"/>
  <c r="F592" i="25"/>
  <c r="F538" i="25"/>
  <c r="F671" i="25"/>
  <c r="M564" i="25"/>
  <c r="F697" i="25"/>
  <c r="F684" i="25"/>
  <c r="J620" i="25"/>
  <c r="C756" i="25"/>
  <c r="E1121" i="25"/>
  <c r="F311" i="25"/>
  <c r="M282" i="25"/>
  <c r="M366" i="25"/>
  <c r="F268" i="25"/>
  <c r="C365" i="25"/>
  <c r="F365" i="25" s="1"/>
  <c r="J242" i="25"/>
  <c r="M242" i="25" s="1"/>
  <c r="F281" i="25"/>
  <c r="J381" i="25"/>
  <c r="M381" i="25" s="1"/>
  <c r="J770" i="25"/>
  <c r="M771" i="25"/>
  <c r="F337" i="25"/>
  <c r="F324" i="25"/>
  <c r="F255" i="25"/>
  <c r="M254" i="25"/>
  <c r="E353" i="25"/>
  <c r="M352" i="25"/>
  <c r="M269" i="25"/>
  <c r="M241" i="25"/>
  <c r="F351" i="25"/>
  <c r="F298" i="25"/>
  <c r="E620" i="25" l="1"/>
  <c r="F620" i="25" s="1"/>
  <c r="M592" i="25"/>
  <c r="M579" i="25"/>
  <c r="M620" i="25"/>
  <c r="M605" i="25"/>
  <c r="E633" i="25"/>
  <c r="F633" i="25" s="1"/>
  <c r="L646" i="25"/>
  <c r="M633" i="25"/>
  <c r="L299" i="25"/>
  <c r="L659" i="25" l="1"/>
  <c r="M659" i="25" s="1"/>
  <c r="E646" i="25"/>
  <c r="M646" i="25"/>
  <c r="J897" i="25"/>
  <c r="M915" i="25"/>
  <c r="M914" i="25"/>
  <c r="J913" i="25"/>
  <c r="J912" i="25" s="1"/>
  <c r="M911" i="25"/>
  <c r="M910" i="25"/>
  <c r="M909" i="25"/>
  <c r="J899" i="25"/>
  <c r="M898" i="25"/>
  <c r="C897" i="25"/>
  <c r="F915" i="25"/>
  <c r="F914" i="25"/>
  <c r="C913" i="25"/>
  <c r="F911" i="25"/>
  <c r="F910" i="25"/>
  <c r="F909" i="25"/>
  <c r="C899" i="25"/>
  <c r="F898" i="25"/>
  <c r="C55" i="18"/>
  <c r="C801" i="25"/>
  <c r="C807" i="25"/>
  <c r="C803" i="25"/>
  <c r="F818" i="25"/>
  <c r="F815" i="25"/>
  <c r="F814" i="25"/>
  <c r="F813" i="25"/>
  <c r="F803" i="25"/>
  <c r="F819" i="25"/>
  <c r="C817" i="25"/>
  <c r="C816" i="25" s="1"/>
  <c r="F816" i="25" l="1"/>
  <c r="F802" i="25"/>
  <c r="E659" i="25"/>
  <c r="F659" i="25" s="1"/>
  <c r="F646" i="25"/>
  <c r="C912" i="25"/>
  <c r="F912" i="25" s="1"/>
  <c r="M912" i="25"/>
  <c r="C900" i="25"/>
  <c r="E823" i="25"/>
  <c r="F817" i="25"/>
  <c r="J900" i="25" l="1"/>
  <c r="C901" i="25"/>
  <c r="C804" i="25"/>
  <c r="J901" i="25" l="1"/>
  <c r="C805" i="25"/>
  <c r="F805" i="25" s="1"/>
  <c r="F804" i="25"/>
  <c r="C799" i="25" l="1"/>
  <c r="L143" i="25" l="1"/>
  <c r="L142" i="25"/>
  <c r="L141" i="25"/>
  <c r="L140" i="25"/>
  <c r="C382" i="18"/>
  <c r="C292" i="18"/>
  <c r="C190" i="18"/>
  <c r="C77" i="18"/>
  <c r="C195" i="18"/>
  <c r="C297" i="18"/>
  <c r="F305" i="18"/>
  <c r="F306" i="18"/>
  <c r="F307" i="18"/>
  <c r="F308" i="18"/>
  <c r="C314" i="18"/>
  <c r="I113" i="25"/>
  <c r="I115" i="25"/>
  <c r="C82" i="18" l="1"/>
  <c r="F314" i="18"/>
  <c r="J178" i="25" l="1"/>
  <c r="E1111" i="25" l="1"/>
  <c r="E1112" i="25"/>
  <c r="E1123" i="25" s="1"/>
  <c r="F1123" i="25" s="1"/>
  <c r="C401" i="18"/>
  <c r="F319" i="18"/>
  <c r="C315" i="18"/>
  <c r="F216" i="18"/>
  <c r="F217" i="18"/>
  <c r="A219" i="18"/>
  <c r="A220" i="18" s="1"/>
  <c r="A221" i="18" s="1"/>
  <c r="C212" i="18"/>
  <c r="A100" i="18"/>
  <c r="A101" i="18" s="1"/>
  <c r="A102" i="18" s="1"/>
  <c r="F212" i="18" l="1"/>
  <c r="F315" i="18"/>
  <c r="C402" i="18"/>
  <c r="F402" i="18" s="1"/>
  <c r="F1111" i="25"/>
  <c r="E1122" i="25"/>
  <c r="F1122" i="25" s="1"/>
  <c r="F1112" i="25"/>
  <c r="F404" i="18" l="1"/>
  <c r="F304" i="18"/>
  <c r="F202" i="18"/>
  <c r="F94" i="18"/>
  <c r="F95" i="18"/>
  <c r="F89" i="18"/>
  <c r="F91" i="18"/>
  <c r="F92" i="18"/>
  <c r="F93" i="18"/>
  <c r="E1098" i="25"/>
  <c r="E1100" i="25"/>
  <c r="F1100" i="25" s="1"/>
  <c r="E1102" i="25"/>
  <c r="F1073" i="25"/>
  <c r="F1061" i="25"/>
  <c r="F346" i="18"/>
  <c r="F771" i="25" l="1"/>
  <c r="C274" i="18"/>
  <c r="C172" i="18"/>
  <c r="C98" i="18"/>
  <c r="C97" i="18"/>
  <c r="F97" i="18" l="1"/>
  <c r="J903" i="25"/>
  <c r="L919" i="25" s="1"/>
  <c r="C769" i="25"/>
  <c r="C770" i="25" s="1"/>
  <c r="F98" i="18"/>
  <c r="C903" i="25"/>
  <c r="C904" i="25"/>
  <c r="J904" i="25"/>
  <c r="M904" i="25" s="1"/>
  <c r="J905" i="25" l="1"/>
  <c r="J906" i="25" s="1"/>
  <c r="C905" i="25"/>
  <c r="F905" i="25" s="1"/>
  <c r="E919" i="25"/>
  <c r="F904" i="25"/>
  <c r="C928" i="25" l="1"/>
  <c r="J943" i="25"/>
  <c r="M905" i="25"/>
  <c r="C906" i="25"/>
  <c r="C271" i="18"/>
  <c r="C169" i="18"/>
  <c r="J815" i="25" l="1"/>
  <c r="J816" i="25" s="1"/>
  <c r="J828" i="25"/>
  <c r="J945" i="25"/>
  <c r="J944" i="25"/>
  <c r="C767" i="25"/>
  <c r="J767" i="25"/>
  <c r="C930" i="25"/>
  <c r="C929" i="25"/>
  <c r="C772" i="25" l="1"/>
  <c r="C768" i="25"/>
  <c r="J817" i="25"/>
  <c r="J772" i="25"/>
  <c r="J773" i="25" s="1"/>
  <c r="M773" i="25" s="1"/>
  <c r="J768" i="25"/>
  <c r="J830" i="25"/>
  <c r="J829" i="25"/>
  <c r="C773" i="25"/>
  <c r="F773" i="25" s="1"/>
  <c r="C113" i="18" l="1"/>
  <c r="C787" i="25"/>
  <c r="F787" i="25" s="1"/>
  <c r="J757" i="25"/>
  <c r="C56" i="18"/>
  <c r="C57" i="18"/>
  <c r="C785" i="25" l="1"/>
  <c r="C786" i="25" s="1"/>
  <c r="C809" i="25" l="1"/>
  <c r="F809" i="25" s="1"/>
  <c r="A105" i="18"/>
  <c r="A106" i="18" s="1"/>
  <c r="A107" i="18" s="1"/>
  <c r="F101" i="18"/>
  <c r="F102" i="18"/>
  <c r="F103" i="18"/>
  <c r="K115" i="25"/>
  <c r="L115" i="25" s="1"/>
  <c r="K116" i="25"/>
  <c r="L116" i="25" s="1"/>
  <c r="K117" i="25"/>
  <c r="L117" i="25" s="1"/>
  <c r="K118" i="25"/>
  <c r="L118" i="25" s="1"/>
  <c r="K127" i="25"/>
  <c r="L127" i="25" s="1"/>
  <c r="K128" i="25"/>
  <c r="L128" i="25" s="1"/>
  <c r="K129" i="25"/>
  <c r="L129" i="25" s="1"/>
  <c r="K130" i="25"/>
  <c r="L130" i="25" s="1"/>
  <c r="C322" i="18"/>
  <c r="C219" i="18"/>
  <c r="C105" i="18"/>
  <c r="C808" i="25" l="1"/>
  <c r="C810" i="25" s="1"/>
  <c r="F810" i="25" s="1"/>
  <c r="C50" i="18"/>
  <c r="C60" i="18"/>
  <c r="C189" i="18" l="1"/>
  <c r="C291" i="18"/>
  <c r="F808" i="25"/>
  <c r="C1119" i="25" l="1"/>
  <c r="C1121" i="25" l="1"/>
  <c r="F1121" i="25" s="1"/>
  <c r="C1120" i="25"/>
  <c r="C132" i="18"/>
  <c r="F132" i="18" l="1"/>
  <c r="C131" i="18"/>
  <c r="F131" i="18" s="1"/>
  <c r="F105" i="18"/>
  <c r="G107" i="18" s="1"/>
  <c r="A75" i="18"/>
  <c r="A76" i="18" s="1"/>
  <c r="A77" i="18" s="1"/>
  <c r="A78" i="18" s="1"/>
  <c r="A79" i="18" s="1"/>
  <c r="A80" i="18" s="1"/>
  <c r="C241" i="18"/>
  <c r="C363" i="18"/>
  <c r="A401" i="18"/>
  <c r="A402" i="18" s="1"/>
  <c r="A403" i="18" s="1"/>
  <c r="F386" i="18"/>
  <c r="A374" i="18"/>
  <c r="C358" i="18"/>
  <c r="C357" i="18"/>
  <c r="C379" i="18"/>
  <c r="A181" i="18"/>
  <c r="A283" i="18"/>
  <c r="C139" i="18"/>
  <c r="C371" i="18"/>
  <c r="A68" i="18"/>
  <c r="F241" i="18" l="1"/>
  <c r="C341" i="18"/>
  <c r="C301" i="18"/>
  <c r="C191" i="18"/>
  <c r="C199" i="18"/>
  <c r="C86" i="18"/>
  <c r="C280" i="18"/>
  <c r="C178" i="18"/>
  <c r="C117" i="18"/>
  <c r="C119" i="18"/>
  <c r="F119" i="18" s="1"/>
  <c r="C116" i="18"/>
  <c r="A116" i="18"/>
  <c r="A117" i="18" s="1"/>
  <c r="A118" i="18" s="1"/>
  <c r="A119" i="18" s="1"/>
  <c r="C293" i="18" l="1"/>
  <c r="F341" i="18"/>
  <c r="C118" i="18"/>
  <c r="F401" i="18"/>
  <c r="G404" i="18" s="1"/>
  <c r="A404" i="18"/>
  <c r="A396" i="18"/>
  <c r="A397" i="18" s="1"/>
  <c r="A398" i="18" s="1"/>
  <c r="A399" i="18" s="1"/>
  <c r="A390" i="18"/>
  <c r="A391" i="18" s="1"/>
  <c r="A392" i="18" s="1"/>
  <c r="A393" i="18" s="1"/>
  <c r="A394" i="18" s="1"/>
  <c r="F388" i="18"/>
  <c r="G388" i="18" s="1"/>
  <c r="F384" i="18"/>
  <c r="G386" i="18" s="1"/>
  <c r="A384" i="18"/>
  <c r="A385" i="18" s="1"/>
  <c r="A386" i="18" s="1"/>
  <c r="A381" i="18"/>
  <c r="A382" i="18" s="1"/>
  <c r="A375" i="18"/>
  <c r="A376" i="18" s="1"/>
  <c r="A377" i="18" s="1"/>
  <c r="A378" i="18" s="1"/>
  <c r="A379" i="18" s="1"/>
  <c r="A367" i="18"/>
  <c r="A368" i="18" s="1"/>
  <c r="A351" i="18"/>
  <c r="A352" i="18" s="1"/>
  <c r="A353" i="18" s="1"/>
  <c r="A354" i="18" s="1"/>
  <c r="C338" i="18"/>
  <c r="F338" i="18" s="1"/>
  <c r="A337" i="18"/>
  <c r="A326" i="18"/>
  <c r="A327" i="18" s="1"/>
  <c r="A328" i="18" s="1"/>
  <c r="A329" i="18" s="1"/>
  <c r="A330" i="18" s="1"/>
  <c r="A331" i="18" s="1"/>
  <c r="F322" i="18"/>
  <c r="G324" i="18" s="1"/>
  <c r="A322" i="18"/>
  <c r="A323" i="18" s="1"/>
  <c r="A324" i="18" s="1"/>
  <c r="F318" i="18"/>
  <c r="G320" i="18" s="1"/>
  <c r="A317" i="18"/>
  <c r="F303" i="18"/>
  <c r="G315" i="18" s="1"/>
  <c r="A303" i="18"/>
  <c r="A304" i="18" s="1"/>
  <c r="A305" i="18" s="1"/>
  <c r="A306" i="18" s="1"/>
  <c r="A307" i="18" s="1"/>
  <c r="A308" i="18" s="1"/>
  <c r="A299" i="18"/>
  <c r="A300" i="18" s="1"/>
  <c r="A301" i="18" s="1"/>
  <c r="A297" i="18"/>
  <c r="A291" i="18"/>
  <c r="A292" i="18" s="1"/>
  <c r="A293" i="18" s="1"/>
  <c r="A294" i="18" s="1"/>
  <c r="A295" i="18" s="1"/>
  <c r="A284" i="18"/>
  <c r="A285" i="18" s="1"/>
  <c r="A286" i="18" s="1"/>
  <c r="A287" i="18" s="1"/>
  <c r="A288" i="18" s="1"/>
  <c r="A289" i="18" s="1"/>
  <c r="A276" i="18"/>
  <c r="A277" i="18" s="1"/>
  <c r="A248" i="18"/>
  <c r="A249" i="18" s="1"/>
  <c r="A250" i="18" s="1"/>
  <c r="A251" i="18" s="1"/>
  <c r="A252" i="18" s="1"/>
  <c r="C211" i="18"/>
  <c r="F211" i="18" s="1"/>
  <c r="G212" i="18" s="1"/>
  <c r="A197" i="18"/>
  <c r="A198" i="18" s="1"/>
  <c r="A199" i="18" s="1"/>
  <c r="A174" i="18"/>
  <c r="A175" i="18" s="1"/>
  <c r="C165" i="18"/>
  <c r="C164" i="18"/>
  <c r="C163" i="18"/>
  <c r="C162" i="18"/>
  <c r="C251" i="18"/>
  <c r="A88" i="18"/>
  <c r="A89" i="18" s="1"/>
  <c r="A84" i="18"/>
  <c r="A85" i="18" s="1"/>
  <c r="A86" i="18" s="1"/>
  <c r="A134" i="18"/>
  <c r="A135" i="18" s="1"/>
  <c r="A136" i="18" s="1"/>
  <c r="A137" i="18" s="1"/>
  <c r="A138" i="18" s="1"/>
  <c r="A139" i="18" s="1"/>
  <c r="A140" i="18" s="1"/>
  <c r="A141" i="18" s="1"/>
  <c r="C121" i="18"/>
  <c r="C63" i="18"/>
  <c r="A21" i="18"/>
  <c r="A22" i="18" s="1"/>
  <c r="A23" i="18" s="1"/>
  <c r="A24" i="18" s="1"/>
  <c r="A25" i="18" s="1"/>
  <c r="A26" i="18" s="1"/>
  <c r="A27" i="18" s="1"/>
  <c r="C58" i="18"/>
  <c r="C52" i="18"/>
  <c r="C29" i="18"/>
  <c r="A309" i="18" l="1"/>
  <c r="A310" i="18" s="1"/>
  <c r="A311" i="18" s="1"/>
  <c r="A312" i="18" s="1"/>
  <c r="A91" i="18"/>
  <c r="A92" i="18" s="1"/>
  <c r="A93" i="18" s="1"/>
  <c r="A94" i="18" s="1"/>
  <c r="A95" i="18" s="1"/>
  <c r="A96" i="18" s="1"/>
  <c r="A97" i="18" s="1"/>
  <c r="A98" i="18" s="1"/>
  <c r="A90" i="18"/>
  <c r="A253" i="18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8" i="18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318" i="18"/>
  <c r="A319" i="18" s="1"/>
  <c r="A320" i="18" s="1"/>
  <c r="A355" i="18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9" i="18"/>
  <c r="A370" i="18" s="1"/>
  <c r="A371" i="18" s="1"/>
  <c r="A372" i="18" s="1"/>
  <c r="A278" i="18"/>
  <c r="A279" i="18" s="1"/>
  <c r="A280" i="18" s="1"/>
  <c r="A281" i="18" s="1"/>
  <c r="A176" i="18"/>
  <c r="A338" i="18"/>
  <c r="A339" i="18" s="1"/>
  <c r="A340" i="18" s="1"/>
  <c r="A341" i="18" s="1"/>
  <c r="A342" i="18" s="1"/>
  <c r="A343" i="18" s="1"/>
  <c r="C62" i="18"/>
  <c r="C167" i="18"/>
  <c r="C149" i="18"/>
  <c r="A345" i="18" l="1"/>
  <c r="A346" i="18" s="1"/>
  <c r="A344" i="18"/>
  <c r="A268" i="18"/>
  <c r="A269" i="18" s="1"/>
  <c r="A270" i="18" s="1"/>
  <c r="A271" i="18" s="1"/>
  <c r="A272" i="18" s="1"/>
  <c r="A274" i="18" s="1"/>
  <c r="A49" i="18"/>
  <c r="A50" i="18" s="1"/>
  <c r="A51" i="18" s="1"/>
  <c r="A52" i="18" s="1"/>
  <c r="A53" i="18" s="1"/>
  <c r="A54" i="18" s="1"/>
  <c r="A55" i="18" s="1"/>
  <c r="A56" i="18" s="1"/>
  <c r="A57" i="18" s="1"/>
  <c r="A58" i="18" s="1"/>
  <c r="A314" i="18"/>
  <c r="A315" i="18" s="1"/>
  <c r="A313" i="18"/>
  <c r="A178" i="18"/>
  <c r="A179" i="18" s="1"/>
  <c r="A177" i="18"/>
  <c r="C17" i="18"/>
  <c r="C13" i="18"/>
  <c r="C54" i="18"/>
  <c r="C356" i="18"/>
  <c r="C40" i="18"/>
  <c r="C39" i="18"/>
  <c r="C36" i="18"/>
  <c r="C353" i="18"/>
  <c r="C147" i="18"/>
  <c r="C31" i="18"/>
  <c r="C351" i="18"/>
  <c r="C35" i="18"/>
  <c r="C269" i="18"/>
  <c r="C48" i="18"/>
  <c r="C47" i="18"/>
  <c r="C46" i="18"/>
  <c r="C45" i="18"/>
  <c r="C378" i="18"/>
  <c r="C370" i="18"/>
  <c r="C361" i="18"/>
  <c r="C360" i="18"/>
  <c r="C359" i="18"/>
  <c r="C295" i="18"/>
  <c r="C337" i="18"/>
  <c r="F337" i="18" s="1"/>
  <c r="C300" i="18"/>
  <c r="C327" i="18"/>
  <c r="C345" i="18"/>
  <c r="C299" i="18"/>
  <c r="C331" i="18"/>
  <c r="C289" i="18"/>
  <c r="C266" i="18"/>
  <c r="C267" i="18"/>
  <c r="C264" i="18"/>
  <c r="C265" i="18"/>
  <c r="C193" i="18"/>
  <c r="C185" i="18"/>
  <c r="C234" i="18"/>
  <c r="C198" i="18"/>
  <c r="C224" i="18"/>
  <c r="C239" i="18"/>
  <c r="C197" i="18"/>
  <c r="C228" i="18"/>
  <c r="C187" i="18"/>
  <c r="C85" i="18"/>
  <c r="C124" i="18"/>
  <c r="C137" i="18"/>
  <c r="C136" i="18"/>
  <c r="C122" i="18"/>
  <c r="C235" i="18" s="1"/>
  <c r="C123" i="18"/>
  <c r="C84" i="18"/>
  <c r="C80" i="18"/>
  <c r="C26" i="18"/>
  <c r="C177" i="18" l="1"/>
  <c r="C381" i="18"/>
  <c r="C76" i="18"/>
  <c r="C398" i="18"/>
  <c r="C397" i="18"/>
  <c r="C399" i="18"/>
  <c r="C369" i="18"/>
  <c r="C49" i="18"/>
  <c r="C279" i="18"/>
  <c r="F235" i="18"/>
  <c r="A273" i="18"/>
  <c r="C362" i="18"/>
  <c r="C51" i="18"/>
  <c r="C1055" i="25"/>
  <c r="C152" i="18"/>
  <c r="C354" i="18"/>
  <c r="C254" i="18"/>
  <c r="C161" i="18"/>
  <c r="C44" i="18"/>
  <c r="C263" i="18"/>
  <c r="C146" i="18"/>
  <c r="C260" i="18"/>
  <c r="C158" i="18"/>
  <c r="C43" i="18"/>
  <c r="C262" i="18"/>
  <c r="C160" i="18"/>
  <c r="C248" i="18"/>
  <c r="C249" i="18"/>
  <c r="C33" i="18"/>
  <c r="C355" i="18"/>
  <c r="C259" i="18"/>
  <c r="C157" i="18"/>
  <c r="C27" i="18"/>
  <c r="C352" i="18"/>
  <c r="C37" i="18"/>
  <c r="C255" i="18"/>
  <c r="C153" i="18"/>
  <c r="C156" i="18"/>
  <c r="C258" i="18"/>
  <c r="C42" i="18"/>
  <c r="C281" i="18"/>
  <c r="C376" i="18"/>
  <c r="C179" i="18"/>
  <c r="C287" i="18"/>
  <c r="C72" i="18"/>
  <c r="C135" i="18"/>
  <c r="F135" i="18" s="1"/>
  <c r="C134" i="18"/>
  <c r="F134" i="18" s="1"/>
  <c r="C394" i="18"/>
  <c r="C288" i="18"/>
  <c r="C23" i="18"/>
  <c r="C25" i="18"/>
  <c r="C14" i="18"/>
  <c r="C30" i="18"/>
  <c r="C32" i="18"/>
  <c r="C66" i="18"/>
  <c r="C73" i="18"/>
  <c r="C186" i="18"/>
  <c r="C110" i="18"/>
  <c r="F141" i="18"/>
  <c r="C372" i="18" l="1"/>
  <c r="C393" i="18"/>
  <c r="C339" i="18"/>
  <c r="C396" i="18"/>
  <c r="C278" i="18"/>
  <c r="C175" i="18"/>
  <c r="C176" i="18"/>
  <c r="C368" i="18"/>
  <c r="C367" i="18"/>
  <c r="C236" i="18"/>
  <c r="C184" i="18"/>
  <c r="C181" i="18"/>
  <c r="J350" i="25"/>
  <c r="C362" i="25"/>
  <c r="C1080" i="25"/>
  <c r="C1079" i="25"/>
  <c r="C1084" i="25" s="1"/>
  <c r="C61" i="18"/>
  <c r="C174" i="18"/>
  <c r="C1068" i="25"/>
  <c r="C1067" i="25"/>
  <c r="C1072" i="25" s="1"/>
  <c r="C268" i="18"/>
  <c r="C166" i="18"/>
  <c r="C1056" i="25"/>
  <c r="C1060" i="25"/>
  <c r="J927" i="25"/>
  <c r="C71" i="18"/>
  <c r="C24" i="18"/>
  <c r="C349" i="25"/>
  <c r="J575" i="25"/>
  <c r="J576" i="25" s="1"/>
  <c r="C509" i="25"/>
  <c r="C510" i="25" s="1"/>
  <c r="C561" i="25"/>
  <c r="C562" i="25" s="1"/>
  <c r="J239" i="25"/>
  <c r="J522" i="25"/>
  <c r="J523" i="25" s="1"/>
  <c r="C753" i="25"/>
  <c r="C444" i="25"/>
  <c r="C616" i="25"/>
  <c r="C617" i="25" s="1"/>
  <c r="J629" i="25"/>
  <c r="J630" i="25" s="1"/>
  <c r="C198" i="25"/>
  <c r="C208" i="25"/>
  <c r="C943" i="25"/>
  <c r="C261" i="18"/>
  <c r="C159" i="18"/>
  <c r="C250" i="18"/>
  <c r="C148" i="18"/>
  <c r="C257" i="18"/>
  <c r="C155" i="18"/>
  <c r="C252" i="18"/>
  <c r="C150" i="18"/>
  <c r="J431" i="25"/>
  <c r="C256" i="18"/>
  <c r="C154" i="18"/>
  <c r="C38" i="18"/>
  <c r="C16" i="18"/>
  <c r="C75" i="18"/>
  <c r="C1097" i="25" s="1"/>
  <c r="C276" i="18"/>
  <c r="C286" i="18"/>
  <c r="C65" i="18"/>
  <c r="C277" i="18"/>
  <c r="C22" i="18"/>
  <c r="C668" i="25"/>
  <c r="C669" i="25" s="1"/>
  <c r="C218" i="25"/>
  <c r="J753" i="25"/>
  <c r="J754" i="25" s="1"/>
  <c r="C296" i="25"/>
  <c r="C239" i="25"/>
  <c r="J198" i="25"/>
  <c r="C391" i="18"/>
  <c r="C68" i="18"/>
  <c r="F140" i="18"/>
  <c r="C758" i="25" l="1"/>
  <c r="C754" i="25"/>
  <c r="C353" i="25"/>
  <c r="F353" i="25" s="1"/>
  <c r="C350" i="25"/>
  <c r="C300" i="25"/>
  <c r="F300" i="25" s="1"/>
  <c r="C297" i="25"/>
  <c r="J243" i="25"/>
  <c r="J240" i="25"/>
  <c r="C243" i="25"/>
  <c r="C240" i="25"/>
  <c r="C366" i="25"/>
  <c r="C363" i="25"/>
  <c r="J354" i="25"/>
  <c r="J351" i="25"/>
  <c r="C446" i="25"/>
  <c r="F446" i="25" s="1"/>
  <c r="C445" i="25"/>
  <c r="J433" i="25"/>
  <c r="M433" i="25" s="1"/>
  <c r="J432" i="25"/>
  <c r="C340" i="18"/>
  <c r="F340" i="18" s="1"/>
  <c r="F339" i="18"/>
  <c r="C285" i="18"/>
  <c r="C21" i="18"/>
  <c r="C41" i="18"/>
  <c r="C183" i="18"/>
  <c r="C375" i="18"/>
  <c r="F236" i="18"/>
  <c r="C237" i="18"/>
  <c r="F237" i="18" s="1"/>
  <c r="C283" i="18"/>
  <c r="J364" i="25"/>
  <c r="J378" i="25"/>
  <c r="C522" i="25"/>
  <c r="C523" i="25" s="1"/>
  <c r="C511" i="25"/>
  <c r="F511" i="25" s="1"/>
  <c r="J252" i="25"/>
  <c r="J267" i="25"/>
  <c r="J535" i="25"/>
  <c r="J536" i="25" s="1"/>
  <c r="J524" i="25"/>
  <c r="M524" i="25" s="1"/>
  <c r="C1108" i="25"/>
  <c r="C1110" i="25" s="1"/>
  <c r="C266" i="25"/>
  <c r="C253" i="25"/>
  <c r="C279" i="25"/>
  <c r="C322" i="25"/>
  <c r="C309" i="25"/>
  <c r="C335" i="25"/>
  <c r="J336" i="25"/>
  <c r="J323" i="25"/>
  <c r="J309" i="25"/>
  <c r="C377" i="18"/>
  <c r="C374" i="18"/>
  <c r="C64" i="18"/>
  <c r="C69" i="18"/>
  <c r="C18" i="18"/>
  <c r="J391" i="25"/>
  <c r="J404" i="25"/>
  <c r="J417" i="25"/>
  <c r="C629" i="25"/>
  <c r="C630" i="25" s="1"/>
  <c r="C618" i="25"/>
  <c r="F618" i="25" s="1"/>
  <c r="J631" i="25"/>
  <c r="M631" i="25" s="1"/>
  <c r="J642" i="25"/>
  <c r="J643" i="25" s="1"/>
  <c r="C670" i="25"/>
  <c r="F670" i="25" s="1"/>
  <c r="C681" i="25"/>
  <c r="C682" i="25" s="1"/>
  <c r="C563" i="25"/>
  <c r="C574" i="25"/>
  <c r="C575" i="25" s="1"/>
  <c r="J588" i="25"/>
  <c r="J589" i="25" s="1"/>
  <c r="J577" i="25"/>
  <c r="M577" i="25" s="1"/>
  <c r="C759" i="25"/>
  <c r="F759" i="25" s="1"/>
  <c r="C1057" i="25"/>
  <c r="C111" i="18"/>
  <c r="C70" i="18"/>
  <c r="C1099" i="25"/>
  <c r="F1099" i="25" s="1"/>
  <c r="C1098" i="25"/>
  <c r="F1098" i="25" s="1"/>
  <c r="C944" i="25"/>
  <c r="C945" i="25"/>
  <c r="J928" i="25"/>
  <c r="J929" i="25"/>
  <c r="C783" i="25"/>
  <c r="J801" i="25"/>
  <c r="C483" i="25"/>
  <c r="C484" i="25" s="1"/>
  <c r="J496" i="25"/>
  <c r="J497" i="25" s="1"/>
  <c r="J296" i="25"/>
  <c r="J681" i="25"/>
  <c r="J682" i="25" s="1"/>
  <c r="C229" i="25"/>
  <c r="C231" i="25" s="1"/>
  <c r="J208" i="25"/>
  <c r="C457" i="25"/>
  <c r="C458" i="25" s="1"/>
  <c r="J218" i="25"/>
  <c r="C329" i="18"/>
  <c r="C284" i="18"/>
  <c r="C226" i="18"/>
  <c r="C328" i="18"/>
  <c r="C19" i="18"/>
  <c r="J393" i="25" l="1"/>
  <c r="M393" i="25" s="1"/>
  <c r="J392" i="25"/>
  <c r="C788" i="25"/>
  <c r="C789" i="25" s="1"/>
  <c r="F789" i="25" s="1"/>
  <c r="C784" i="25"/>
  <c r="J419" i="25"/>
  <c r="J418" i="25"/>
  <c r="J406" i="25"/>
  <c r="J405" i="25"/>
  <c r="J382" i="25"/>
  <c r="J379" i="25"/>
  <c r="J368" i="25"/>
  <c r="J365" i="25"/>
  <c r="C339" i="25"/>
  <c r="C336" i="25"/>
  <c r="C313" i="25"/>
  <c r="C310" i="25"/>
  <c r="C326" i="25"/>
  <c r="C323" i="25"/>
  <c r="J280" i="25"/>
  <c r="J268" i="25"/>
  <c r="J256" i="25"/>
  <c r="J253" i="25"/>
  <c r="C257" i="25"/>
  <c r="C254" i="25"/>
  <c r="C283" i="25"/>
  <c r="C280" i="25"/>
  <c r="C270" i="25"/>
  <c r="C267" i="25"/>
  <c r="J339" i="25"/>
  <c r="J337" i="25"/>
  <c r="J312" i="25"/>
  <c r="J310" i="25"/>
  <c r="J326" i="25"/>
  <c r="J324" i="25"/>
  <c r="J299" i="25"/>
  <c r="M299" i="25" s="1"/>
  <c r="J297" i="25"/>
  <c r="C1109" i="25"/>
  <c r="J548" i="25"/>
  <c r="J549" i="25" s="1"/>
  <c r="J537" i="25"/>
  <c r="C535" i="25"/>
  <c r="C536" i="25" s="1"/>
  <c r="C524" i="25"/>
  <c r="J271" i="25"/>
  <c r="C109" i="18"/>
  <c r="E757" i="25"/>
  <c r="C1058" i="25"/>
  <c r="C496" i="25"/>
  <c r="C485" i="25"/>
  <c r="J457" i="25"/>
  <c r="J458" i="25" s="1"/>
  <c r="M458" i="25" s="1"/>
  <c r="J444" i="25"/>
  <c r="C404" i="25"/>
  <c r="C431" i="25"/>
  <c r="C432" i="25" s="1"/>
  <c r="C417" i="25"/>
  <c r="C459" i="25"/>
  <c r="F459" i="25" s="1"/>
  <c r="C470" i="25"/>
  <c r="J509" i="25"/>
  <c r="J498" i="25"/>
  <c r="J683" i="25"/>
  <c r="J694" i="25"/>
  <c r="E755" i="25"/>
  <c r="E756" i="25"/>
  <c r="J644" i="25"/>
  <c r="J655" i="25"/>
  <c r="C683" i="25"/>
  <c r="C694" i="25"/>
  <c r="C631" i="25"/>
  <c r="C642" i="25"/>
  <c r="C643" i="25" s="1"/>
  <c r="C588" i="25"/>
  <c r="C589" i="25" s="1"/>
  <c r="C576" i="25"/>
  <c r="J590" i="25"/>
  <c r="J601" i="25"/>
  <c r="J602" i="25" s="1"/>
  <c r="C1059" i="25"/>
  <c r="F1059" i="25" s="1"/>
  <c r="M929" i="25"/>
  <c r="J841" i="25"/>
  <c r="C707" i="25"/>
  <c r="C708" i="25" s="1"/>
  <c r="C391" i="25"/>
  <c r="C225" i="18"/>
  <c r="C326" i="18"/>
  <c r="C1081" i="25"/>
  <c r="C182" i="18"/>
  <c r="J657" i="25" l="1"/>
  <c r="J656" i="25"/>
  <c r="C419" i="25"/>
  <c r="C418" i="25"/>
  <c r="C393" i="25"/>
  <c r="F393" i="25" s="1"/>
  <c r="C392" i="25"/>
  <c r="J511" i="25"/>
  <c r="J510" i="25"/>
  <c r="M510" i="25" s="1"/>
  <c r="C696" i="25"/>
  <c r="C695" i="25"/>
  <c r="C406" i="25"/>
  <c r="F406" i="25" s="1"/>
  <c r="C405" i="25"/>
  <c r="C498" i="25"/>
  <c r="C497" i="25"/>
  <c r="J284" i="25"/>
  <c r="J281" i="25"/>
  <c r="J696" i="25"/>
  <c r="J695" i="25"/>
  <c r="C472" i="25"/>
  <c r="C471" i="25"/>
  <c r="J446" i="25"/>
  <c r="M446" i="25" s="1"/>
  <c r="J445" i="25"/>
  <c r="J867" i="25"/>
  <c r="C867" i="25"/>
  <c r="C868" i="25" s="1"/>
  <c r="C392" i="18"/>
  <c r="C390" i="18"/>
  <c r="C1082" i="25"/>
  <c r="C1083" i="25"/>
  <c r="C537" i="25"/>
  <c r="C548" i="25"/>
  <c r="J561" i="25"/>
  <c r="J550" i="25"/>
  <c r="C112" i="18"/>
  <c r="F757" i="25"/>
  <c r="J459" i="25"/>
  <c r="J470" i="25"/>
  <c r="J471" i="25" s="1"/>
  <c r="M471" i="25" s="1"/>
  <c r="C433" i="25"/>
  <c r="C720" i="25"/>
  <c r="C721" i="25" s="1"/>
  <c r="C709" i="25"/>
  <c r="E770" i="25"/>
  <c r="L756" i="25"/>
  <c r="L770" i="25" s="1"/>
  <c r="M770" i="25" s="1"/>
  <c r="F756" i="25"/>
  <c r="E769" i="25"/>
  <c r="F755" i="25"/>
  <c r="L755" i="25"/>
  <c r="L769" i="25" s="1"/>
  <c r="M769" i="25" s="1"/>
  <c r="C644" i="25"/>
  <c r="C655" i="25"/>
  <c r="J616" i="25"/>
  <c r="J617" i="25" s="1"/>
  <c r="J603" i="25"/>
  <c r="C590" i="25"/>
  <c r="C601" i="25"/>
  <c r="C602" i="25" s="1"/>
  <c r="E1101" i="25"/>
  <c r="F1101" i="25" s="1"/>
  <c r="C1069" i="25"/>
  <c r="J843" i="25"/>
  <c r="J842" i="25"/>
  <c r="C270" i="18"/>
  <c r="C168" i="18"/>
  <c r="C223" i="18"/>
  <c r="J872" i="25" l="1"/>
  <c r="J868" i="25"/>
  <c r="C657" i="25"/>
  <c r="C656" i="25"/>
  <c r="C550" i="25"/>
  <c r="C549" i="25"/>
  <c r="J563" i="25"/>
  <c r="J562" i="25"/>
  <c r="C881" i="25"/>
  <c r="C872" i="25"/>
  <c r="J873" i="25"/>
  <c r="J472" i="25"/>
  <c r="J483" i="25"/>
  <c r="C722" i="25"/>
  <c r="E785" i="25"/>
  <c r="E856" i="25" s="1"/>
  <c r="E869" i="25" s="1"/>
  <c r="F769" i="25"/>
  <c r="E786" i="25"/>
  <c r="E857" i="25" s="1"/>
  <c r="E870" i="25" s="1"/>
  <c r="F770" i="25"/>
  <c r="C603" i="25"/>
  <c r="J618" i="25"/>
  <c r="C1070" i="25"/>
  <c r="C1071" i="25"/>
  <c r="E238" i="25"/>
  <c r="C886" i="25" l="1"/>
  <c r="C882" i="25"/>
  <c r="J485" i="25"/>
  <c r="J484" i="25"/>
  <c r="M484" i="25" s="1"/>
  <c r="C873" i="25"/>
  <c r="F873" i="25" s="1"/>
  <c r="F872" i="25"/>
  <c r="C887" i="25"/>
  <c r="F887" i="25" s="1"/>
  <c r="E884" i="25"/>
  <c r="F884" i="25" s="1"/>
  <c r="L870" i="25"/>
  <c r="M870" i="25" s="1"/>
  <c r="F870" i="25"/>
  <c r="E883" i="25"/>
  <c r="F883" i="25" s="1"/>
  <c r="L869" i="25"/>
  <c r="M869" i="25" s="1"/>
  <c r="F869" i="25"/>
  <c r="L857" i="25"/>
  <c r="M857" i="25" s="1"/>
  <c r="F857" i="25"/>
  <c r="L856" i="25"/>
  <c r="M856" i="25" s="1"/>
  <c r="F856" i="25"/>
  <c r="F785" i="25"/>
  <c r="E842" i="25"/>
  <c r="F842" i="25" s="1"/>
  <c r="F786" i="25"/>
  <c r="E843" i="25"/>
  <c r="F843" i="25" s="1"/>
  <c r="E295" i="25"/>
  <c r="E252" i="25" s="1"/>
  <c r="F252" i="25" s="1"/>
  <c r="L238" i="25"/>
  <c r="S238" i="25" s="1"/>
  <c r="A60" i="18"/>
  <c r="A61" i="18" s="1"/>
  <c r="A62" i="18" s="1"/>
  <c r="A63" i="18" s="1"/>
  <c r="A64" i="18" s="1"/>
  <c r="A65" i="18" s="1"/>
  <c r="A66" i="18" s="1"/>
  <c r="S266" i="25" l="1"/>
  <c r="T266" i="25" s="1"/>
  <c r="S251" i="25"/>
  <c r="T251" i="25" s="1"/>
  <c r="T238" i="25"/>
  <c r="L806" i="25"/>
  <c r="L251" i="25"/>
  <c r="L266" i="25"/>
  <c r="L820" i="25" l="1"/>
  <c r="L833" i="25" s="1"/>
  <c r="L847" i="25" s="1"/>
  <c r="L932" i="25" s="1"/>
  <c r="E933" i="25" s="1"/>
  <c r="M251" i="25"/>
  <c r="L279" i="25"/>
  <c r="M279" i="25" s="1"/>
  <c r="L948" i="25" l="1"/>
  <c r="E949" i="25" s="1"/>
  <c r="F234" i="18" l="1"/>
  <c r="F219" i="18"/>
  <c r="G221" i="18" s="1"/>
  <c r="F215" i="18"/>
  <c r="F214" i="18"/>
  <c r="A234" i="18"/>
  <c r="A223" i="18"/>
  <c r="A224" i="18" s="1"/>
  <c r="A225" i="18" s="1"/>
  <c r="A226" i="18" s="1"/>
  <c r="A227" i="18" s="1"/>
  <c r="A228" i="18" s="1"/>
  <c r="A214" i="18"/>
  <c r="A201" i="18"/>
  <c r="A202" i="18" s="1"/>
  <c r="A203" i="18" s="1"/>
  <c r="A204" i="18" s="1"/>
  <c r="A205" i="18" s="1"/>
  <c r="A195" i="18"/>
  <c r="A189" i="18"/>
  <c r="A190" i="18" s="1"/>
  <c r="A191" i="18" s="1"/>
  <c r="A192" i="18" s="1"/>
  <c r="A193" i="18" s="1"/>
  <c r="A182" i="18"/>
  <c r="A183" i="18" s="1"/>
  <c r="A184" i="18" s="1"/>
  <c r="A185" i="18" s="1"/>
  <c r="A186" i="18" s="1"/>
  <c r="A187" i="18" s="1"/>
  <c r="A146" i="18"/>
  <c r="A147" i="18" s="1"/>
  <c r="A148" i="18" s="1"/>
  <c r="A149" i="18" s="1"/>
  <c r="A150" i="18" s="1"/>
  <c r="F122" i="18"/>
  <c r="G217" i="18" l="1"/>
  <c r="A206" i="18"/>
  <c r="A207" i="18" s="1"/>
  <c r="A208" i="18" s="1"/>
  <c r="A209" i="18" s="1"/>
  <c r="A210" i="18" s="1"/>
  <c r="A211" i="18" s="1"/>
  <c r="A212" i="18" s="1"/>
  <c r="A151" i="18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215" i="18"/>
  <c r="A216" i="18" s="1"/>
  <c r="A217" i="18" s="1"/>
  <c r="A235" i="18"/>
  <c r="A236" i="18" s="1"/>
  <c r="E667" i="25"/>
  <c r="E680" i="25" s="1"/>
  <c r="E693" i="25" s="1"/>
  <c r="F693" i="25" l="1"/>
  <c r="L714" i="25"/>
  <c r="A165" i="18"/>
  <c r="A166" i="18" s="1"/>
  <c r="A167" i="18" s="1"/>
  <c r="A168" i="18" s="1"/>
  <c r="A169" i="18" s="1"/>
  <c r="A170" i="18" s="1"/>
  <c r="A171" i="18" s="1"/>
  <c r="A172" i="18" s="1"/>
  <c r="A237" i="18"/>
  <c r="A16" i="18"/>
  <c r="A13" i="18"/>
  <c r="L730" i="25" l="1"/>
  <c r="M714" i="25"/>
  <c r="A239" i="18"/>
  <c r="A238" i="18"/>
  <c r="E1095" i="25"/>
  <c r="F1095" i="25" s="1"/>
  <c r="E733" i="25" l="1"/>
  <c r="F733" i="25" s="1"/>
  <c r="M730" i="25"/>
  <c r="A241" i="18"/>
  <c r="A243" i="18" s="1"/>
  <c r="A240" i="18"/>
  <c r="L786" i="25"/>
  <c r="M786" i="25" s="1"/>
  <c r="A242" i="18" l="1"/>
  <c r="L804" i="25" l="1"/>
  <c r="F121" i="18"/>
  <c r="A121" i="18"/>
  <c r="A122" i="18" s="1"/>
  <c r="A123" i="18" s="1"/>
  <c r="A124" i="18" s="1"/>
  <c r="A109" i="18"/>
  <c r="A110" i="18" s="1"/>
  <c r="A111" i="18" s="1"/>
  <c r="A112" i="18" s="1"/>
  <c r="A113" i="18" s="1"/>
  <c r="A114" i="18" s="1"/>
  <c r="F100" i="18"/>
  <c r="G103" i="18" s="1"/>
  <c r="A103" i="18"/>
  <c r="F88" i="18"/>
  <c r="G98" i="18" s="1"/>
  <c r="A82" i="18"/>
  <c r="A69" i="18"/>
  <c r="A70" i="18" s="1"/>
  <c r="A71" i="18" s="1"/>
  <c r="A72" i="18" s="1"/>
  <c r="A73" i="18" s="1"/>
  <c r="F19" i="18"/>
  <c r="F18" i="18"/>
  <c r="F17" i="18"/>
  <c r="F16" i="18"/>
  <c r="A17" i="18"/>
  <c r="A18" i="18" s="1"/>
  <c r="A19" i="18" s="1"/>
  <c r="F14" i="18"/>
  <c r="F13" i="18"/>
  <c r="A14" i="18"/>
  <c r="M804" i="25" l="1"/>
  <c r="L818" i="25"/>
  <c r="A125" i="18"/>
  <c r="A126" i="18" s="1"/>
  <c r="A127" i="18" s="1"/>
  <c r="A128" i="18" s="1"/>
  <c r="A129" i="18" s="1"/>
  <c r="A130" i="18" s="1"/>
  <c r="A131" i="18" s="1"/>
  <c r="G14" i="18"/>
  <c r="G19" i="18"/>
  <c r="L831" i="25" l="1"/>
  <c r="M818" i="25"/>
  <c r="A132" i="18" l="1"/>
  <c r="L845" i="25"/>
  <c r="M831" i="25"/>
  <c r="M845" i="25" l="1"/>
  <c r="L930" i="25"/>
  <c r="M930" i="25" l="1"/>
  <c r="E931" i="25"/>
  <c r="F931" i="25" s="1"/>
  <c r="L946" i="25"/>
  <c r="E947" i="25" l="1"/>
  <c r="F947" i="25" s="1"/>
  <c r="M946" i="25"/>
  <c r="C1046" i="25" l="1"/>
  <c r="C1044" i="25"/>
  <c r="C1045" i="25" s="1"/>
  <c r="C1043" i="25"/>
  <c r="F1043" i="25" s="1"/>
  <c r="C1042" i="25"/>
  <c r="C1035" i="25"/>
  <c r="F1035" i="25" s="1"/>
  <c r="F1034" i="25"/>
  <c r="C1033" i="25"/>
  <c r="F1033" i="25" s="1"/>
  <c r="E1032" i="25"/>
  <c r="F1032" i="25" s="1"/>
  <c r="F1031" i="25"/>
  <c r="C1022" i="25"/>
  <c r="F1021" i="25"/>
  <c r="F1020" i="25"/>
  <c r="C1013" i="25"/>
  <c r="F1013" i="25" s="1"/>
  <c r="C1012" i="25"/>
  <c r="F1012" i="25" s="1"/>
  <c r="F1011" i="25"/>
  <c r="J1008" i="25"/>
  <c r="M1008" i="25" s="1"/>
  <c r="J1006" i="25"/>
  <c r="J1005" i="25"/>
  <c r="F1005" i="25"/>
  <c r="M1004" i="25"/>
  <c r="C1004" i="25"/>
  <c r="F1004" i="25" s="1"/>
  <c r="M1003" i="25"/>
  <c r="F1003" i="25"/>
  <c r="M996" i="25"/>
  <c r="F996" i="25"/>
  <c r="J995" i="25"/>
  <c r="M995" i="25" s="1"/>
  <c r="C995" i="25"/>
  <c r="F995" i="25" s="1"/>
  <c r="M988" i="25"/>
  <c r="F988" i="25"/>
  <c r="J987" i="25"/>
  <c r="M987" i="25" s="1"/>
  <c r="C987" i="25"/>
  <c r="F987" i="25" s="1"/>
  <c r="F981" i="25"/>
  <c r="F980" i="25"/>
  <c r="C979" i="25"/>
  <c r="J981" i="25"/>
  <c r="M981" i="25" s="1"/>
  <c r="M980" i="25"/>
  <c r="M979" i="25"/>
  <c r="J803" i="25"/>
  <c r="J802" i="25"/>
  <c r="M757" i="25"/>
  <c r="J755" i="25"/>
  <c r="J756" i="25" s="1"/>
  <c r="J758" i="25"/>
  <c r="F707" i="25"/>
  <c r="J232" i="25"/>
  <c r="M232" i="25" s="1"/>
  <c r="M231" i="25"/>
  <c r="J230" i="25"/>
  <c r="C230" i="25"/>
  <c r="J220" i="25"/>
  <c r="C220" i="25"/>
  <c r="J219" i="25"/>
  <c r="C219" i="25"/>
  <c r="J210" i="25"/>
  <c r="C210" i="25"/>
  <c r="J209" i="25"/>
  <c r="C209" i="25"/>
  <c r="J200" i="25"/>
  <c r="C200" i="25"/>
  <c r="J199" i="25"/>
  <c r="C199" i="25"/>
  <c r="J180" i="25"/>
  <c r="J179" i="25"/>
  <c r="F171" i="25"/>
  <c r="F170" i="25"/>
  <c r="F163" i="25"/>
  <c r="E162" i="25"/>
  <c r="F162" i="25" s="1"/>
  <c r="E161" i="25"/>
  <c r="C161" i="25"/>
  <c r="F154" i="25"/>
  <c r="F153" i="25"/>
  <c r="F152" i="25"/>
  <c r="F151" i="25"/>
  <c r="F148" i="25"/>
  <c r="F142" i="25"/>
  <c r="F141" i="25"/>
  <c r="F140" i="25"/>
  <c r="F139" i="25"/>
  <c r="F136" i="25"/>
  <c r="F130" i="25"/>
  <c r="F129" i="25"/>
  <c r="F128" i="25"/>
  <c r="F127" i="25"/>
  <c r="F118" i="25"/>
  <c r="F117" i="25"/>
  <c r="F116" i="25"/>
  <c r="F115" i="25"/>
  <c r="F114" i="25"/>
  <c r="F112" i="25"/>
  <c r="F106" i="25"/>
  <c r="F105" i="25"/>
  <c r="F98" i="25"/>
  <c r="F97" i="25"/>
  <c r="F96" i="25"/>
  <c r="F95" i="25"/>
  <c r="F94" i="25"/>
  <c r="F92" i="25"/>
  <c r="F86" i="25"/>
  <c r="C85" i="25"/>
  <c r="F79" i="25"/>
  <c r="F78" i="25"/>
  <c r="C77" i="25"/>
  <c r="F71" i="25"/>
  <c r="F70" i="25"/>
  <c r="C69" i="25"/>
  <c r="F63" i="25"/>
  <c r="F62" i="25"/>
  <c r="F61" i="25"/>
  <c r="L60" i="25"/>
  <c r="F60" i="25"/>
  <c r="L59" i="25"/>
  <c r="L58" i="25"/>
  <c r="E85" i="25" s="1"/>
  <c r="L54" i="25"/>
  <c r="L53" i="25"/>
  <c r="L52" i="25"/>
  <c r="F52" i="25"/>
  <c r="C51" i="25"/>
  <c r="L49" i="25"/>
  <c r="L48" i="25"/>
  <c r="L47" i="25"/>
  <c r="L46" i="25"/>
  <c r="L45" i="25"/>
  <c r="F45" i="25"/>
  <c r="F44" i="25"/>
  <c r="F43" i="25"/>
  <c r="L42" i="25"/>
  <c r="F42" i="25"/>
  <c r="L41" i="25"/>
  <c r="F41" i="25"/>
  <c r="L40" i="25"/>
  <c r="F39" i="25"/>
  <c r="L36" i="25"/>
  <c r="L35" i="25"/>
  <c r="L34" i="25"/>
  <c r="F33" i="25"/>
  <c r="F32" i="25"/>
  <c r="L31" i="25"/>
  <c r="F31" i="25"/>
  <c r="L30" i="25"/>
  <c r="F30" i="25"/>
  <c r="L29" i="25"/>
  <c r="L28" i="25"/>
  <c r="E20" i="25"/>
  <c r="F20" i="25" s="1"/>
  <c r="E19" i="25"/>
  <c r="F19" i="25" s="1"/>
  <c r="E18" i="25"/>
  <c r="F18" i="25" s="1"/>
  <c r="E17" i="25"/>
  <c r="F17" i="25" s="1"/>
  <c r="C10" i="25"/>
  <c r="F10" i="25" s="1"/>
  <c r="E9" i="25"/>
  <c r="F9" i="25" s="1"/>
  <c r="E8" i="25"/>
  <c r="F8" i="25" s="1"/>
  <c r="E7" i="25"/>
  <c r="F7" i="25" s="1"/>
  <c r="M997" i="25" l="1"/>
  <c r="L1005" i="25"/>
  <c r="M1005" i="25" s="1"/>
  <c r="F706" i="25"/>
  <c r="M756" i="25"/>
  <c r="F27" i="25"/>
  <c r="K112" i="25"/>
  <c r="E138" i="25"/>
  <c r="K126" i="25"/>
  <c r="L126" i="25" s="1"/>
  <c r="F29" i="25"/>
  <c r="K114" i="25"/>
  <c r="L114" i="25" s="1"/>
  <c r="F124" i="25"/>
  <c r="K124" i="25"/>
  <c r="L124" i="25" s="1"/>
  <c r="E348" i="25"/>
  <c r="M497" i="25"/>
  <c r="F989" i="25"/>
  <c r="F991" i="25" s="1"/>
  <c r="F77" i="25"/>
  <c r="F81" i="25" s="1"/>
  <c r="F173" i="25"/>
  <c r="F161" i="25"/>
  <c r="F165" i="25" s="1"/>
  <c r="F12" i="25"/>
  <c r="M755" i="25"/>
  <c r="F1016" i="25"/>
  <c r="L55" i="25"/>
  <c r="K57" i="25" s="1"/>
  <c r="L57" i="25" s="1"/>
  <c r="L61" i="25" s="1"/>
  <c r="F22" i="25"/>
  <c r="M989" i="25"/>
  <c r="M991" i="25" s="1"/>
  <c r="F979" i="25"/>
  <c r="F983" i="25" s="1"/>
  <c r="F295" i="25"/>
  <c r="L50" i="25"/>
  <c r="F85" i="25"/>
  <c r="F88" i="25" s="1"/>
  <c r="E104" i="25"/>
  <c r="F104" i="25" s="1"/>
  <c r="F108" i="25" s="1"/>
  <c r="F1036" i="25"/>
  <c r="L32" i="25"/>
  <c r="E28" i="25" s="1"/>
  <c r="K113" i="25" s="1"/>
  <c r="F708" i="25"/>
  <c r="J759" i="25"/>
  <c r="M759" i="25" s="1"/>
  <c r="M758" i="25"/>
  <c r="F126" i="25"/>
  <c r="M230" i="25"/>
  <c r="F1007" i="25"/>
  <c r="L37" i="25"/>
  <c r="K39" i="25" s="1"/>
  <c r="L39" i="25" s="1"/>
  <c r="L43" i="25" s="1"/>
  <c r="E59" i="25" s="1"/>
  <c r="M983" i="25"/>
  <c r="F997" i="25"/>
  <c r="F999" i="25" s="1"/>
  <c r="F1022" i="25"/>
  <c r="C1023" i="25"/>
  <c r="F1023" i="25" s="1"/>
  <c r="M999" i="25"/>
  <c r="J1007" i="25"/>
  <c r="M1007" i="25" s="1"/>
  <c r="M1006" i="25"/>
  <c r="E228" i="18" l="1"/>
  <c r="F228" i="18" s="1"/>
  <c r="E331" i="18"/>
  <c r="F331" i="18" s="1"/>
  <c r="E114" i="18"/>
  <c r="E21" i="18"/>
  <c r="F21" i="18" s="1"/>
  <c r="E139" i="18"/>
  <c r="F139" i="18" s="1"/>
  <c r="C712" i="25"/>
  <c r="F348" i="25"/>
  <c r="E361" i="25"/>
  <c r="F361" i="25" s="1"/>
  <c r="L113" i="25"/>
  <c r="K138" i="25"/>
  <c r="L138" i="25" s="1"/>
  <c r="E150" i="25"/>
  <c r="F150" i="25" s="1"/>
  <c r="K139" i="25"/>
  <c r="L139" i="25" s="1"/>
  <c r="L112" i="25"/>
  <c r="K137" i="25"/>
  <c r="L137" i="25" s="1"/>
  <c r="F238" i="25"/>
  <c r="F138" i="25"/>
  <c r="E265" i="25"/>
  <c r="E308" i="25" s="1"/>
  <c r="E278" i="25" s="1"/>
  <c r="F1026" i="25"/>
  <c r="E51" i="25"/>
  <c r="F51" i="25" s="1"/>
  <c r="E53" i="25" s="1"/>
  <c r="F53" i="25" s="1"/>
  <c r="E40" i="25"/>
  <c r="F40" i="25" s="1"/>
  <c r="F47" i="25" s="1"/>
  <c r="M1012" i="25"/>
  <c r="E69" i="25"/>
  <c r="F69" i="25" s="1"/>
  <c r="F73" i="25" s="1"/>
  <c r="F59" i="25"/>
  <c r="F65" i="25" s="1"/>
  <c r="E1045" i="25" s="1"/>
  <c r="F1045" i="25" s="1"/>
  <c r="E93" i="25"/>
  <c r="F28" i="25"/>
  <c r="F35" i="25" s="1"/>
  <c r="F114" i="18" l="1"/>
  <c r="L120" i="25"/>
  <c r="F278" i="25"/>
  <c r="E321" i="25"/>
  <c r="L145" i="25"/>
  <c r="M238" i="25"/>
  <c r="E1044" i="25"/>
  <c r="F1044" i="25" s="1"/>
  <c r="F308" i="25"/>
  <c r="E1046" i="25"/>
  <c r="F1046" i="25" s="1"/>
  <c r="F187" i="18"/>
  <c r="F289" i="18"/>
  <c r="F265" i="25"/>
  <c r="F55" i="25"/>
  <c r="E113" i="25"/>
  <c r="F93" i="25"/>
  <c r="F100" i="25" s="1"/>
  <c r="L295" i="25"/>
  <c r="L308" i="25" s="1"/>
  <c r="L322" i="25" s="1"/>
  <c r="M266" i="25"/>
  <c r="E181" i="18" l="1"/>
  <c r="E68" i="18"/>
  <c r="E374" i="18"/>
  <c r="E283" i="18"/>
  <c r="F321" i="25"/>
  <c r="E334" i="25"/>
  <c r="F334" i="25" s="1"/>
  <c r="M322" i="25"/>
  <c r="L335" i="25"/>
  <c r="E125" i="25"/>
  <c r="K125" i="25" s="1"/>
  <c r="L125" i="25" s="1"/>
  <c r="L132" i="25" s="1"/>
  <c r="F113" i="25"/>
  <c r="F120" i="25" s="1"/>
  <c r="L349" i="25"/>
  <c r="M295" i="25"/>
  <c r="F68" i="18" l="1"/>
  <c r="M335" i="25"/>
  <c r="F283" i="18"/>
  <c r="F374" i="18"/>
  <c r="F181" i="18"/>
  <c r="M349" i="25"/>
  <c r="L363" i="25"/>
  <c r="L800" i="25" s="1"/>
  <c r="M871" i="25" s="1"/>
  <c r="M308" i="25"/>
  <c r="E137" i="25"/>
  <c r="F125" i="25"/>
  <c r="F132" i="25" s="1"/>
  <c r="L814" i="25" l="1"/>
  <c r="L827" i="25" s="1"/>
  <c r="M827" i="25" s="1"/>
  <c r="L782" i="25"/>
  <c r="M782" i="25" s="1"/>
  <c r="M363" i="25"/>
  <c r="L377" i="25"/>
  <c r="M377" i="25" s="1"/>
  <c r="E149" i="25"/>
  <c r="F149" i="25" s="1"/>
  <c r="F156" i="25" s="1"/>
  <c r="F137" i="25"/>
  <c r="F144" i="25" s="1"/>
  <c r="L840" i="25" l="1"/>
  <c r="M840" i="25" s="1"/>
  <c r="L926" i="25" l="1"/>
  <c r="L942" i="25" s="1"/>
  <c r="F680" i="25"/>
  <c r="E927" i="25" l="1"/>
  <c r="M942" i="25"/>
  <c r="E942" i="25"/>
  <c r="F667" i="25"/>
  <c r="E394" i="25" l="1"/>
  <c r="F1110" i="25"/>
  <c r="E420" i="25" l="1"/>
  <c r="F394" i="25"/>
  <c r="E407" i="25"/>
  <c r="F407" i="25" s="1"/>
  <c r="L394" i="25"/>
  <c r="M394" i="25" s="1"/>
  <c r="L407" i="25" l="1"/>
  <c r="M407" i="25" s="1"/>
  <c r="E434" i="25"/>
  <c r="L420" i="25"/>
  <c r="F420" i="25"/>
  <c r="L434" i="25" l="1"/>
  <c r="M420" i="25"/>
  <c r="E447" i="25"/>
  <c r="F434" i="25"/>
  <c r="L447" i="25" l="1"/>
  <c r="M434" i="25"/>
  <c r="F447" i="25"/>
  <c r="E460" i="25"/>
  <c r="F460" i="25" l="1"/>
  <c r="E473" i="25"/>
  <c r="L460" i="25"/>
  <c r="M447" i="25"/>
  <c r="L473" i="25" l="1"/>
  <c r="M460" i="25"/>
  <c r="F473" i="25"/>
  <c r="E486" i="25"/>
  <c r="E499" i="25" l="1"/>
  <c r="F499" i="25" s="1"/>
  <c r="F486" i="25"/>
  <c r="L486" i="25"/>
  <c r="M473" i="25"/>
  <c r="L499" i="25" l="1"/>
  <c r="M486" i="25"/>
  <c r="L512" i="25" l="1"/>
  <c r="M499" i="25"/>
  <c r="L684" i="25" l="1"/>
  <c r="M512" i="25"/>
  <c r="L697" i="25" l="1"/>
  <c r="M684" i="25"/>
  <c r="D119" i="13"/>
  <c r="E710" i="25" l="1"/>
  <c r="M697" i="25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69" i="17"/>
  <c r="E68" i="17"/>
  <c r="E67" i="17"/>
  <c r="E66" i="17"/>
  <c r="E52" i="17"/>
  <c r="E51" i="17"/>
  <c r="E50" i="17"/>
  <c r="E49" i="17"/>
  <c r="E48" i="17"/>
  <c r="B47" i="17"/>
  <c r="E47" i="17" s="1"/>
  <c r="E46" i="17"/>
  <c r="E45" i="17"/>
  <c r="D44" i="17"/>
  <c r="E44" i="17" s="1"/>
  <c r="B53" i="17" s="1"/>
  <c r="E53" i="17" s="1"/>
  <c r="F40" i="17"/>
  <c r="F39" i="17"/>
  <c r="F38" i="17"/>
  <c r="F37" i="17"/>
  <c r="D36" i="17"/>
  <c r="E36" i="17" s="1"/>
  <c r="F32" i="17"/>
  <c r="F31" i="17"/>
  <c r="F30" i="17"/>
  <c r="F29" i="17"/>
  <c r="F28" i="17"/>
  <c r="F27" i="17"/>
  <c r="F26" i="17"/>
  <c r="F25" i="17"/>
  <c r="F24" i="17"/>
  <c r="F23" i="17"/>
  <c r="D22" i="17"/>
  <c r="E22" i="17" s="1"/>
  <c r="E17" i="17"/>
  <c r="E16" i="17"/>
  <c r="D13" i="17"/>
  <c r="E7" i="17"/>
  <c r="B6" i="17"/>
  <c r="E6" i="17" s="1"/>
  <c r="E5" i="17"/>
  <c r="D4" i="17"/>
  <c r="E4" i="17" s="1"/>
  <c r="E3" i="17"/>
  <c r="E29" i="16"/>
  <c r="E28" i="16"/>
  <c r="E27" i="16"/>
  <c r="E26" i="16"/>
  <c r="E25" i="16"/>
  <c r="E24" i="16"/>
  <c r="E23" i="16"/>
  <c r="E22" i="16"/>
  <c r="E21" i="16"/>
  <c r="E20" i="16"/>
  <c r="B19" i="16"/>
  <c r="E19" i="16" s="1"/>
  <c r="E17" i="16"/>
  <c r="B16" i="16"/>
  <c r="E16" i="16" s="1"/>
  <c r="B15" i="16"/>
  <c r="E15" i="16" s="1"/>
  <c r="B13" i="16"/>
  <c r="B12" i="16"/>
  <c r="B11" i="16"/>
  <c r="B10" i="16"/>
  <c r="B9" i="16"/>
  <c r="B8" i="16"/>
  <c r="H10" i="16" s="1"/>
  <c r="C36" i="14"/>
  <c r="C22" i="14"/>
  <c r="C17" i="14"/>
  <c r="C18" i="14" s="1"/>
  <c r="C16" i="14"/>
  <c r="C15" i="14"/>
  <c r="D13" i="14"/>
  <c r="E11" i="14"/>
  <c r="F11" i="14" s="1"/>
  <c r="B353" i="13"/>
  <c r="D352" i="13"/>
  <c r="B351" i="13"/>
  <c r="E344" i="13"/>
  <c r="E343" i="13"/>
  <c r="B340" i="13"/>
  <c r="B341" i="13" s="1"/>
  <c r="B342" i="13" s="1"/>
  <c r="E342" i="13" s="1"/>
  <c r="E339" i="13"/>
  <c r="E328" i="13"/>
  <c r="E327" i="13"/>
  <c r="E326" i="13"/>
  <c r="E325" i="13"/>
  <c r="E324" i="13"/>
  <c r="E323" i="13"/>
  <c r="E322" i="13"/>
  <c r="E321" i="13"/>
  <c r="E308" i="13"/>
  <c r="E307" i="13"/>
  <c r="E306" i="13"/>
  <c r="E305" i="13"/>
  <c r="E297" i="13"/>
  <c r="E296" i="13"/>
  <c r="E295" i="13"/>
  <c r="E293" i="13"/>
  <c r="E292" i="13"/>
  <c r="B291" i="13"/>
  <c r="E282" i="13"/>
  <c r="E280" i="13"/>
  <c r="E279" i="13"/>
  <c r="E278" i="13"/>
  <c r="E277" i="13"/>
  <c r="E276" i="13"/>
  <c r="D265" i="13"/>
  <c r="D264" i="13"/>
  <c r="B250" i="13"/>
  <c r="E248" i="13"/>
  <c r="E246" i="13"/>
  <c r="E243" i="13"/>
  <c r="E241" i="13"/>
  <c r="E235" i="13"/>
  <c r="B231" i="13"/>
  <c r="B229" i="13"/>
  <c r="E212" i="13"/>
  <c r="E211" i="13"/>
  <c r="D205" i="13"/>
  <c r="D204" i="13"/>
  <c r="D203" i="13"/>
  <c r="E119" i="13"/>
  <c r="D118" i="13"/>
  <c r="E118" i="13" s="1"/>
  <c r="D117" i="13"/>
  <c r="E117" i="13" s="1"/>
  <c r="D116" i="13"/>
  <c r="E116" i="13" s="1"/>
  <c r="D109" i="13"/>
  <c r="D108" i="13"/>
  <c r="D107" i="13"/>
  <c r="D106" i="13"/>
  <c r="D105" i="13"/>
  <c r="D104" i="13"/>
  <c r="D103" i="13"/>
  <c r="E93" i="13"/>
  <c r="E92" i="13"/>
  <c r="E91" i="13"/>
  <c r="E90" i="13"/>
  <c r="D82" i="13"/>
  <c r="D81" i="13"/>
  <c r="D80" i="13"/>
  <c r="D79" i="13"/>
  <c r="D78" i="13"/>
  <c r="D77" i="13"/>
  <c r="D76" i="13"/>
  <c r="D48" i="13"/>
  <c r="D47" i="13"/>
  <c r="D46" i="13"/>
  <c r="D45" i="13"/>
  <c r="D44" i="13"/>
  <c r="B38" i="13"/>
  <c r="E38" i="13" s="1"/>
  <c r="E37" i="13"/>
  <c r="E36" i="13"/>
  <c r="D28" i="13"/>
  <c r="E27" i="13"/>
  <c r="J25" i="13"/>
  <c r="J24" i="13"/>
  <c r="J23" i="13"/>
  <c r="M22" i="13"/>
  <c r="J22" i="13"/>
  <c r="B16" i="13"/>
  <c r="E16" i="13" s="1"/>
  <c r="E15" i="13"/>
  <c r="E14" i="13"/>
  <c r="B7" i="13"/>
  <c r="E7" i="13" s="1"/>
  <c r="E6" i="13"/>
  <c r="E113" i="18" l="1"/>
  <c r="F113" i="18" s="1"/>
  <c r="E723" i="25"/>
  <c r="F723" i="25" s="1"/>
  <c r="F710" i="25"/>
  <c r="E229" i="13"/>
  <c r="E232" i="13" s="1"/>
  <c r="E231" i="13"/>
  <c r="E19" i="17"/>
  <c r="E94" i="13"/>
  <c r="E95" i="13" s="1"/>
  <c r="E291" i="13"/>
  <c r="E9" i="17"/>
  <c r="F41" i="17"/>
  <c r="F35" i="17" s="1"/>
  <c r="E331" i="13"/>
  <c r="E333" i="13" s="1"/>
  <c r="E335" i="13" s="1"/>
  <c r="E9" i="13"/>
  <c r="E10" i="13" s="1"/>
  <c r="E88" i="17"/>
  <c r="E40" i="13"/>
  <c r="E41" i="13" s="1"/>
  <c r="D66" i="13" s="1"/>
  <c r="E121" i="13"/>
  <c r="E122" i="13" s="1"/>
  <c r="D190" i="13" s="1"/>
  <c r="D266" i="13"/>
  <c r="D111" i="13"/>
  <c r="E340" i="13"/>
  <c r="F33" i="17"/>
  <c r="D61" i="17" s="1"/>
  <c r="D62" i="17" s="1"/>
  <c r="B14" i="16"/>
  <c r="E14" i="16" s="1"/>
  <c r="E70" i="17"/>
  <c r="D84" i="13"/>
  <c r="D294" i="13" s="1"/>
  <c r="E294" i="13" s="1"/>
  <c r="E213" i="13"/>
  <c r="D225" i="13" s="1"/>
  <c r="E309" i="13"/>
  <c r="E54" i="17"/>
  <c r="B8" i="17"/>
  <c r="B18" i="17"/>
  <c r="B18" i="16"/>
  <c r="E18" i="16" s="1"/>
  <c r="C11" i="14"/>
  <c r="C12" i="14"/>
  <c r="C10" i="14"/>
  <c r="E17" i="14"/>
  <c r="E352" i="13"/>
  <c r="D353" i="13"/>
  <c r="E353" i="13" s="1"/>
  <c r="E18" i="13"/>
  <c r="E19" i="13" s="1"/>
  <c r="D237" i="13"/>
  <c r="E237" i="13" s="1"/>
  <c r="E341" i="13"/>
  <c r="E351" i="13"/>
  <c r="E30" i="16" l="1"/>
  <c r="E31" i="16" s="1"/>
  <c r="D160" i="13"/>
  <c r="D65" i="13"/>
  <c r="D67" i="13"/>
  <c r="B64" i="13"/>
  <c r="D130" i="13"/>
  <c r="B66" i="13"/>
  <c r="C69" i="13"/>
  <c r="B68" i="13"/>
  <c r="D184" i="13"/>
  <c r="C64" i="13"/>
  <c r="D140" i="13"/>
  <c r="B65" i="13"/>
  <c r="D155" i="13"/>
  <c r="B63" i="13"/>
  <c r="F21" i="17"/>
  <c r="D64" i="13"/>
  <c r="D143" i="13"/>
  <c r="B67" i="13"/>
  <c r="D224" i="13"/>
  <c r="D217" i="13"/>
  <c r="D223" i="13"/>
  <c r="D222" i="13"/>
  <c r="D187" i="13"/>
  <c r="D177" i="13"/>
  <c r="D133" i="13"/>
  <c r="D194" i="13"/>
  <c r="D127" i="13"/>
  <c r="D171" i="13"/>
  <c r="D150" i="13"/>
  <c r="D189" i="13"/>
  <c r="D166" i="13"/>
  <c r="D169" i="13"/>
  <c r="D148" i="13"/>
  <c r="D132" i="13"/>
  <c r="D154" i="13"/>
  <c r="D170" i="13"/>
  <c r="D188" i="13"/>
  <c r="D153" i="13"/>
  <c r="D191" i="13"/>
  <c r="D142" i="13"/>
  <c r="D159" i="13"/>
  <c r="D176" i="13"/>
  <c r="D193" i="13"/>
  <c r="D183" i="13"/>
  <c r="D147" i="13"/>
  <c r="D164" i="13"/>
  <c r="D182" i="13"/>
  <c r="D218" i="13"/>
  <c r="D216" i="13"/>
  <c r="D221" i="13"/>
  <c r="D250" i="13" s="1"/>
  <c r="E250" i="13" s="1"/>
  <c r="D161" i="13"/>
  <c r="D141" i="13"/>
  <c r="D158" i="13"/>
  <c r="D175" i="13"/>
  <c r="D192" i="13"/>
  <c r="D165" i="13"/>
  <c r="D195" i="13"/>
  <c r="D146" i="13"/>
  <c r="D163" i="13"/>
  <c r="D181" i="13"/>
  <c r="D144" i="13"/>
  <c r="D129" i="13"/>
  <c r="D152" i="13"/>
  <c r="D168" i="13"/>
  <c r="D186" i="13"/>
  <c r="C68" i="13"/>
  <c r="C67" i="13"/>
  <c r="C66" i="13"/>
  <c r="D69" i="13"/>
  <c r="C65" i="13"/>
  <c r="B298" i="13"/>
  <c r="B299" i="13" s="1"/>
  <c r="E299" i="13" s="1"/>
  <c r="E347" i="13"/>
  <c r="D219" i="13"/>
  <c r="D220" i="13"/>
  <c r="D179" i="13"/>
  <c r="D145" i="13"/>
  <c r="D162" i="13"/>
  <c r="D180" i="13"/>
  <c r="D196" i="13"/>
  <c r="D173" i="13"/>
  <c r="D128" i="13"/>
  <c r="D151" i="13"/>
  <c r="D167" i="13"/>
  <c r="D185" i="13"/>
  <c r="D157" i="13"/>
  <c r="D136" i="13"/>
  <c r="D156" i="13"/>
  <c r="D172" i="13"/>
  <c r="C63" i="13"/>
  <c r="D68" i="13"/>
  <c r="B69" i="13"/>
  <c r="D63" i="13"/>
  <c r="E11" i="13"/>
  <c r="D58" i="17"/>
  <c r="D59" i="17" s="1"/>
  <c r="F44" i="17"/>
  <c r="A60" i="17" s="1"/>
  <c r="D354" i="13"/>
  <c r="E354" i="13" s="1"/>
  <c r="E356" i="13" s="1"/>
  <c r="D236" i="13"/>
  <c r="E236" i="13" s="1"/>
  <c r="E238" i="13" s="1"/>
  <c r="D230" i="13"/>
  <c r="E230" i="13" s="1"/>
  <c r="D242" i="13"/>
  <c r="E242" i="13" s="1"/>
  <c r="E244" i="13" s="1"/>
  <c r="D247" i="13"/>
  <c r="E247" i="13" s="1"/>
  <c r="D281" i="13"/>
  <c r="E281" i="13" s="1"/>
  <c r="E283" i="13" s="1"/>
  <c r="E284" i="13" s="1"/>
  <c r="E298" i="13" l="1"/>
  <c r="E300" i="13" s="1"/>
  <c r="E301" i="13" s="1"/>
  <c r="E360" i="13"/>
  <c r="E366" i="13" s="1"/>
  <c r="E251" i="13"/>
  <c r="E886" i="25" l="1"/>
  <c r="F886" i="25" s="1"/>
  <c r="E736" i="25"/>
  <c r="F736" i="25" s="1"/>
  <c r="E859" i="25"/>
  <c r="F859" i="25" s="1"/>
  <c r="E1083" i="25"/>
  <c r="F1083" i="25" s="1"/>
  <c r="E644" i="25"/>
  <c r="F644" i="25" s="1"/>
  <c r="E722" i="25"/>
  <c r="F722" i="25" s="1"/>
  <c r="L511" i="25"/>
  <c r="M511" i="25" s="1"/>
  <c r="L419" i="25"/>
  <c r="M419" i="25" s="1"/>
  <c r="E537" i="25"/>
  <c r="F537" i="25" s="1"/>
  <c r="L899" i="25"/>
  <c r="L271" i="25"/>
  <c r="L603" i="25"/>
  <c r="M603" i="25" s="1"/>
  <c r="E326" i="25"/>
  <c r="F326" i="25" s="1"/>
  <c r="L326" i="25"/>
  <c r="M326" i="25" s="1"/>
  <c r="L772" i="25"/>
  <c r="M772" i="25" s="1"/>
  <c r="L550" i="25"/>
  <c r="M550" i="25" s="1"/>
  <c r="E696" i="25"/>
  <c r="F696" i="25" s="1"/>
  <c r="L830" i="25"/>
  <c r="M830" i="25" s="1"/>
  <c r="E590" i="25"/>
  <c r="F590" i="25" s="1"/>
  <c r="L696" i="25"/>
  <c r="M696" i="25" s="1"/>
  <c r="L657" i="25"/>
  <c r="M657" i="25" s="1"/>
  <c r="L382" i="25"/>
  <c r="M382" i="25" s="1"/>
  <c r="E485" i="25"/>
  <c r="F485" i="25" s="1"/>
  <c r="L472" i="25"/>
  <c r="M472" i="25" s="1"/>
  <c r="E433" i="25"/>
  <c r="F433" i="25" s="1"/>
  <c r="E930" i="25"/>
  <c r="F930" i="25" s="1"/>
  <c r="E270" i="25"/>
  <c r="F270" i="25" s="1"/>
  <c r="L354" i="25"/>
  <c r="M354" i="25" s="1"/>
  <c r="L872" i="25"/>
  <c r="M872" i="25" s="1"/>
  <c r="L733" i="25"/>
  <c r="M733" i="25" s="1"/>
  <c r="E845" i="25"/>
  <c r="E1071" i="25"/>
  <c r="F1071" i="25" s="1"/>
  <c r="L683" i="25"/>
  <c r="M683" i="25" s="1"/>
  <c r="L945" i="25"/>
  <c r="M945" i="25" s="1"/>
  <c r="E257" i="25"/>
  <c r="F257" i="25" s="1"/>
  <c r="E366" i="25"/>
  <c r="F366" i="25" s="1"/>
  <c r="E472" i="25"/>
  <c r="F472" i="25" s="1"/>
  <c r="L459" i="25"/>
  <c r="M459" i="25" s="1"/>
  <c r="E631" i="25"/>
  <c r="F631" i="25" s="1"/>
  <c r="E419" i="25"/>
  <c r="F419" i="25" s="1"/>
  <c r="E899" i="25"/>
  <c r="L498" i="25"/>
  <c r="M498" i="25" s="1"/>
  <c r="E683" i="25"/>
  <c r="F683" i="25" s="1"/>
  <c r="L817" i="25"/>
  <c r="M817" i="25" s="1"/>
  <c r="L256" i="25"/>
  <c r="E709" i="25"/>
  <c r="F709" i="25" s="1"/>
  <c r="L406" i="25"/>
  <c r="M406" i="25" s="1"/>
  <c r="L644" i="25"/>
  <c r="M644" i="25" s="1"/>
  <c r="E772" i="25"/>
  <c r="F772" i="25" s="1"/>
  <c r="E313" i="25"/>
  <c r="F313" i="25" s="1"/>
  <c r="L312" i="25"/>
  <c r="M312" i="25" s="1"/>
  <c r="E524" i="25"/>
  <c r="F524" i="25" s="1"/>
  <c r="L590" i="25"/>
  <c r="M590" i="25" s="1"/>
  <c r="L537" i="25"/>
  <c r="M537" i="25" s="1"/>
  <c r="E576" i="25"/>
  <c r="F576" i="25" s="1"/>
  <c r="L368" i="25"/>
  <c r="M368" i="25" s="1"/>
  <c r="L859" i="25"/>
  <c r="M859" i="25" s="1"/>
  <c r="L785" i="25"/>
  <c r="M785" i="25" s="1"/>
  <c r="L563" i="25"/>
  <c r="M563" i="25" s="1"/>
  <c r="L618" i="25"/>
  <c r="M618" i="25" s="1"/>
  <c r="E603" i="25"/>
  <c r="F603" i="25" s="1"/>
  <c r="E339" i="25"/>
  <c r="F339" i="25" s="1"/>
  <c r="L339" i="25"/>
  <c r="M339" i="25" s="1"/>
  <c r="E498" i="25"/>
  <c r="F498" i="25" s="1"/>
  <c r="L485" i="25"/>
  <c r="M485" i="25" s="1"/>
  <c r="L284" i="25"/>
  <c r="M284" i="25" s="1"/>
  <c r="E550" i="25"/>
  <c r="F550" i="25" s="1"/>
  <c r="E945" i="25"/>
  <c r="F945" i="25" s="1"/>
  <c r="E283" i="25"/>
  <c r="F283" i="25" s="1"/>
  <c r="E657" i="25"/>
  <c r="F657" i="25" s="1"/>
  <c r="L843" i="25"/>
  <c r="M843" i="25" s="1"/>
  <c r="S256" i="25" l="1"/>
  <c r="T256" i="25" s="1"/>
  <c r="M256" i="25"/>
  <c r="S271" i="25"/>
  <c r="T271" i="25" s="1"/>
  <c r="M271" i="25"/>
  <c r="L900" i="25"/>
  <c r="M899" i="25"/>
  <c r="E900" i="25"/>
  <c r="E906" i="25"/>
  <c r="F906" i="25" s="1"/>
  <c r="F899" i="25"/>
  <c r="E913" i="25" l="1"/>
  <c r="F913" i="25" s="1"/>
  <c r="E901" i="25"/>
  <c r="F901" i="25" s="1"/>
  <c r="F900" i="25"/>
  <c r="L901" i="25"/>
  <c r="M900" i="25"/>
  <c r="L906" i="25" l="1"/>
  <c r="M901" i="25"/>
  <c r="L913" i="25" l="1"/>
  <c r="M913" i="25" s="1"/>
  <c r="M906" i="25"/>
  <c r="E564" i="25" l="1"/>
  <c r="E577" i="25" l="1"/>
  <c r="F564" i="25"/>
  <c r="E591" i="25" l="1"/>
  <c r="L578" i="25"/>
  <c r="F577" i="25"/>
  <c r="L591" i="25" l="1"/>
  <c r="M578" i="25"/>
  <c r="E604" i="25"/>
  <c r="F604" i="25" s="1"/>
  <c r="F591" i="25"/>
  <c r="L604" i="25" l="1"/>
  <c r="M591" i="25"/>
  <c r="M604" i="25" l="1"/>
  <c r="L619" i="25"/>
  <c r="E619" i="25" l="1"/>
  <c r="F619" i="25" s="1"/>
  <c r="L632" i="25"/>
  <c r="M619" i="25"/>
  <c r="L645" i="25" l="1"/>
  <c r="E632" i="25"/>
  <c r="F632" i="25" s="1"/>
  <c r="M632" i="25"/>
  <c r="L658" i="25" l="1"/>
  <c r="M658" i="25" s="1"/>
  <c r="E645" i="25"/>
  <c r="M645" i="25"/>
  <c r="F645" i="25" l="1"/>
  <c r="E658" i="25"/>
  <c r="F658" i="25" s="1"/>
  <c r="E245" i="25" l="1"/>
  <c r="E396" i="25"/>
  <c r="E674" i="25" l="1"/>
  <c r="E687" i="25" s="1"/>
  <c r="E700" i="25" s="1"/>
  <c r="E409" i="25"/>
  <c r="L396" i="25"/>
  <c r="E567" i="25"/>
  <c r="E580" i="25" s="1"/>
  <c r="L245" i="25"/>
  <c r="E302" i="25"/>
  <c r="E1114" i="25" l="1"/>
  <c r="E1125" i="25" s="1"/>
  <c r="L258" i="25"/>
  <c r="S245" i="25"/>
  <c r="S258" i="25" s="1"/>
  <c r="S273" i="25" s="1"/>
  <c r="E594" i="25"/>
  <c r="E607" i="25" s="1"/>
  <c r="L581" i="25"/>
  <c r="L594" i="25" s="1"/>
  <c r="L607" i="25" s="1"/>
  <c r="L622" i="25" s="1"/>
  <c r="E259" i="25"/>
  <c r="L286" i="25" s="1"/>
  <c r="L273" i="25"/>
  <c r="E355" i="25"/>
  <c r="E422" i="25"/>
  <c r="L409" i="25"/>
  <c r="E436" i="25" l="1"/>
  <c r="E449" i="25" s="1"/>
  <c r="E462" i="25" s="1"/>
  <c r="E475" i="25" s="1"/>
  <c r="E488" i="25" s="1"/>
  <c r="E501" i="25" s="1"/>
  <c r="L422" i="25"/>
  <c r="L436" i="25" s="1"/>
  <c r="L449" i="25" s="1"/>
  <c r="L462" i="25" s="1"/>
  <c r="L475" i="25" s="1"/>
  <c r="L488" i="25" s="1"/>
  <c r="L501" i="25" s="1"/>
  <c r="L514" i="25" s="1"/>
  <c r="L686" i="25" s="1"/>
  <c r="L699" i="25" s="1"/>
  <c r="E712" i="25" s="1"/>
  <c r="E622" i="25"/>
  <c r="L635" i="25"/>
  <c r="E368" i="25"/>
  <c r="E272" i="25"/>
  <c r="E315" i="25" s="1"/>
  <c r="E285" i="25" s="1"/>
  <c r="E328" i="25" s="1"/>
  <c r="E341" i="25" s="1"/>
  <c r="L648" i="25" l="1"/>
  <c r="E635" i="25"/>
  <c r="E725" i="25"/>
  <c r="L721" i="25" s="1"/>
  <c r="L737" i="25" s="1"/>
  <c r="E740" i="25" s="1"/>
  <c r="F712" i="25"/>
  <c r="L661" i="25" l="1"/>
  <c r="E648" i="25"/>
  <c r="E661" i="25" s="1"/>
  <c r="E514" i="25" l="1"/>
  <c r="E527" i="25" s="1"/>
  <c r="L527" i="25" l="1"/>
  <c r="E540" i="25"/>
  <c r="L301" i="25" l="1"/>
  <c r="L314" i="25" s="1"/>
  <c r="E553" i="25"/>
  <c r="L540" i="25"/>
  <c r="E563" i="25" l="1"/>
  <c r="F563" i="25" s="1"/>
  <c r="L553" i="25"/>
  <c r="L566" i="25" s="1"/>
  <c r="L356" i="25"/>
  <c r="L370" i="25" s="1"/>
  <c r="L384" i="25" s="1"/>
  <c r="L327" i="25"/>
  <c r="M327" i="25" l="1"/>
  <c r="L340" i="25"/>
  <c r="M340" i="25" s="1"/>
  <c r="L805" i="25" l="1"/>
  <c r="L819" i="25" s="1"/>
  <c r="L787" i="25"/>
  <c r="M787" i="25" s="1"/>
  <c r="E758" i="25"/>
  <c r="L803" i="25"/>
  <c r="M803" i="25" s="1"/>
  <c r="E508" i="25"/>
  <c r="M805" i="25" l="1"/>
  <c r="E521" i="25"/>
  <c r="F508" i="25"/>
  <c r="E560" i="25"/>
  <c r="M819" i="25"/>
  <c r="L832" i="25"/>
  <c r="E788" i="25"/>
  <c r="F758" i="25"/>
  <c r="E328" i="18"/>
  <c r="F788" i="25" l="1"/>
  <c r="F845" i="25"/>
  <c r="F560" i="25"/>
  <c r="E573" i="25"/>
  <c r="L560" i="25"/>
  <c r="M560" i="25" s="1"/>
  <c r="E243" i="25"/>
  <c r="E244" i="25"/>
  <c r="L846" i="25"/>
  <c r="M832" i="25"/>
  <c r="E534" i="25"/>
  <c r="L521" i="25"/>
  <c r="M521" i="25" s="1"/>
  <c r="F521" i="25"/>
  <c r="F328" i="18"/>
  <c r="L181" i="25"/>
  <c r="E395" i="25"/>
  <c r="E390" i="18"/>
  <c r="E326" i="18"/>
  <c r="E327" i="18"/>
  <c r="E391" i="18"/>
  <c r="F50" i="28" l="1"/>
  <c r="F52" i="28"/>
  <c r="E223" i="18"/>
  <c r="F223" i="18" s="1"/>
  <c r="E109" i="18"/>
  <c r="E112" i="18"/>
  <c r="F112" i="18" s="1"/>
  <c r="E111" i="18"/>
  <c r="F111" i="18" s="1"/>
  <c r="E110" i="18"/>
  <c r="F110" i="18" s="1"/>
  <c r="E330" i="18"/>
  <c r="F330" i="18" s="1"/>
  <c r="L801" i="25"/>
  <c r="L815" i="25" s="1"/>
  <c r="L783" i="25"/>
  <c r="M783" i="25" s="1"/>
  <c r="E547" i="25"/>
  <c r="F534" i="25"/>
  <c r="L534" i="25"/>
  <c r="M534" i="25" s="1"/>
  <c r="E408" i="25"/>
  <c r="F395" i="25"/>
  <c r="L395" i="25"/>
  <c r="M395" i="25" s="1"/>
  <c r="M181" i="25"/>
  <c r="L201" i="25"/>
  <c r="L169" i="25" s="1"/>
  <c r="M169" i="25" s="1"/>
  <c r="M846" i="25"/>
  <c r="L931" i="25"/>
  <c r="F573" i="25"/>
  <c r="L574" i="25"/>
  <c r="E587" i="25"/>
  <c r="E239" i="25"/>
  <c r="E301" i="25"/>
  <c r="L244" i="25"/>
  <c r="L243" i="25"/>
  <c r="F243" i="25"/>
  <c r="F391" i="18"/>
  <c r="F327" i="18"/>
  <c r="F326" i="18"/>
  <c r="F390" i="18"/>
  <c r="E393" i="18"/>
  <c r="E329" i="18"/>
  <c r="F139" i="28" l="1"/>
  <c r="F133" i="28"/>
  <c r="F135" i="28"/>
  <c r="E230" i="18"/>
  <c r="E224" i="18"/>
  <c r="F224" i="18" s="1"/>
  <c r="E116" i="18"/>
  <c r="F116" i="18" s="1"/>
  <c r="M243" i="25"/>
  <c r="S243" i="25"/>
  <c r="T243" i="25" s="1"/>
  <c r="L257" i="25"/>
  <c r="S244" i="25"/>
  <c r="S257" i="25" s="1"/>
  <c r="S272" i="25" s="1"/>
  <c r="M801" i="25"/>
  <c r="E753" i="25"/>
  <c r="L802" i="25"/>
  <c r="M873" i="25" s="1"/>
  <c r="L784" i="25"/>
  <c r="M784" i="25" s="1"/>
  <c r="J788" i="25" s="1"/>
  <c r="M788" i="25" s="1"/>
  <c r="M791" i="25" s="1"/>
  <c r="F109" i="18"/>
  <c r="G114" i="18" s="1"/>
  <c r="E378" i="18"/>
  <c r="E258" i="25"/>
  <c r="L285" i="25" s="1"/>
  <c r="L272" i="25"/>
  <c r="E354" i="25"/>
  <c r="E296" i="25"/>
  <c r="L239" i="25"/>
  <c r="S239" i="25" s="1"/>
  <c r="F239" i="25"/>
  <c r="L947" i="25"/>
  <c r="M931" i="25"/>
  <c r="E932" i="25"/>
  <c r="F932" i="25" s="1"/>
  <c r="F547" i="25"/>
  <c r="L547" i="25"/>
  <c r="M547" i="25" s="1"/>
  <c r="M201" i="25"/>
  <c r="E201" i="25"/>
  <c r="F201" i="25" s="1"/>
  <c r="L211" i="25"/>
  <c r="E600" i="25"/>
  <c r="F600" i="25" s="1"/>
  <c r="F587" i="25"/>
  <c r="F408" i="25"/>
  <c r="E421" i="25"/>
  <c r="L408" i="25"/>
  <c r="M408" i="25" s="1"/>
  <c r="E287" i="18"/>
  <c r="L587" i="25"/>
  <c r="M574" i="25"/>
  <c r="L828" i="25"/>
  <c r="L841" i="25" s="1"/>
  <c r="M815" i="25"/>
  <c r="F191" i="18"/>
  <c r="F393" i="18"/>
  <c r="F329" i="18"/>
  <c r="G331" i="18" s="1"/>
  <c r="F190" i="18"/>
  <c r="F56" i="28" l="1"/>
  <c r="F87" i="28"/>
  <c r="G88" i="28" s="1"/>
  <c r="F127" i="28"/>
  <c r="F47" i="28"/>
  <c r="E226" i="18"/>
  <c r="F226" i="18" s="1"/>
  <c r="E295" i="18"/>
  <c r="F295" i="18" s="1"/>
  <c r="E297" i="18"/>
  <c r="F297" i="18" s="1"/>
  <c r="G297" i="18" s="1"/>
  <c r="F230" i="18"/>
  <c r="S267" i="25"/>
  <c r="T267" i="25" s="1"/>
  <c r="S252" i="25"/>
  <c r="T252" i="25" s="1"/>
  <c r="T239" i="25"/>
  <c r="E364" i="18"/>
  <c r="F364" i="18" s="1"/>
  <c r="F232" i="18"/>
  <c r="L753" i="25"/>
  <c r="E720" i="25"/>
  <c r="F720" i="25" s="1"/>
  <c r="E767" i="25"/>
  <c r="F753" i="25"/>
  <c r="F378" i="18"/>
  <c r="L267" i="25"/>
  <c r="L252" i="25"/>
  <c r="M239" i="25"/>
  <c r="E948" i="25"/>
  <c r="F948" i="25" s="1"/>
  <c r="M947" i="25"/>
  <c r="E253" i="25"/>
  <c r="F253" i="25" s="1"/>
  <c r="E349" i="25"/>
  <c r="F296" i="25"/>
  <c r="L816" i="25"/>
  <c r="M802" i="25"/>
  <c r="L927" i="25"/>
  <c r="M841" i="25"/>
  <c r="L600" i="25"/>
  <c r="M587" i="25"/>
  <c r="L421" i="25"/>
  <c r="F421" i="25"/>
  <c r="E435" i="25"/>
  <c r="E211" i="25"/>
  <c r="M211" i="25"/>
  <c r="L221" i="25"/>
  <c r="M221" i="25" s="1"/>
  <c r="E367" i="25"/>
  <c r="E271" i="25"/>
  <c r="E314" i="25" s="1"/>
  <c r="E284" i="25" s="1"/>
  <c r="E327" i="25" s="1"/>
  <c r="E340" i="25" s="1"/>
  <c r="F287" i="18"/>
  <c r="E1060" i="25"/>
  <c r="E1072" i="25" s="1"/>
  <c r="E1084" i="25" s="1"/>
  <c r="E394" i="18"/>
  <c r="L180" i="25"/>
  <c r="E86" i="18"/>
  <c r="F134" i="28" l="1"/>
  <c r="G135" i="28" s="1"/>
  <c r="F51" i="28"/>
  <c r="G52" i="28" s="1"/>
  <c r="E227" i="18"/>
  <c r="F227" i="18" s="1"/>
  <c r="E754" i="25"/>
  <c r="F198" i="18"/>
  <c r="F394" i="18"/>
  <c r="L829" i="25"/>
  <c r="M816" i="25"/>
  <c r="L200" i="25"/>
  <c r="L168" i="25" s="1"/>
  <c r="M168" i="25" s="1"/>
  <c r="M180" i="25"/>
  <c r="M421" i="25"/>
  <c r="L435" i="25"/>
  <c r="E928" i="25"/>
  <c r="F928" i="25" s="1"/>
  <c r="L943" i="25"/>
  <c r="M927" i="25"/>
  <c r="E783" i="25"/>
  <c r="E854" i="25" s="1"/>
  <c r="E867" i="25" s="1"/>
  <c r="F767" i="25"/>
  <c r="E221" i="25"/>
  <c r="F211" i="25"/>
  <c r="E362" i="25"/>
  <c r="F362" i="25" s="1"/>
  <c r="F349" i="25"/>
  <c r="E266" i="25"/>
  <c r="M267" i="25"/>
  <c r="L296" i="25"/>
  <c r="L179" i="25"/>
  <c r="E448" i="25"/>
  <c r="F435" i="25"/>
  <c r="L615" i="25"/>
  <c r="M600" i="25"/>
  <c r="M252" i="25"/>
  <c r="L280" i="25"/>
  <c r="M280" i="25" s="1"/>
  <c r="L767" i="25"/>
  <c r="M767" i="25" s="1"/>
  <c r="M753" i="25"/>
  <c r="F189" i="18"/>
  <c r="G193" i="18" s="1"/>
  <c r="E391" i="25"/>
  <c r="E334" i="18"/>
  <c r="F80" i="28" l="1"/>
  <c r="F40" i="28"/>
  <c r="E1096" i="25"/>
  <c r="F1096" i="25" s="1"/>
  <c r="C1102" i="25" s="1"/>
  <c r="F1102" i="25" s="1"/>
  <c r="L754" i="25"/>
  <c r="E768" i="25"/>
  <c r="E721" i="25"/>
  <c r="F721" i="25" s="1"/>
  <c r="F754" i="25"/>
  <c r="E79" i="18"/>
  <c r="F79" i="18" s="1"/>
  <c r="E881" i="25"/>
  <c r="F881" i="25" s="1"/>
  <c r="L867" i="25"/>
  <c r="M867" i="25" s="1"/>
  <c r="F867" i="25"/>
  <c r="F854" i="25"/>
  <c r="L854" i="25"/>
  <c r="M854" i="25" s="1"/>
  <c r="F335" i="18"/>
  <c r="F399" i="18"/>
  <c r="F334" i="18"/>
  <c r="F783" i="25"/>
  <c r="E840" i="25"/>
  <c r="F840" i="25" s="1"/>
  <c r="E404" i="25"/>
  <c r="L391" i="25"/>
  <c r="F391" i="25"/>
  <c r="L309" i="25"/>
  <c r="M296" i="25"/>
  <c r="L842" i="25"/>
  <c r="M829" i="25"/>
  <c r="L178" i="25"/>
  <c r="L188" i="25" s="1"/>
  <c r="M188" i="25" s="1"/>
  <c r="M193" i="25" s="1"/>
  <c r="M615" i="25"/>
  <c r="L628" i="25"/>
  <c r="E615" i="25"/>
  <c r="E943" i="25"/>
  <c r="F943" i="25" s="1"/>
  <c r="M943" i="25"/>
  <c r="E461" i="25"/>
  <c r="F448" i="25"/>
  <c r="L448" i="25"/>
  <c r="M435" i="25"/>
  <c r="L199" i="25"/>
  <c r="L167" i="25" s="1"/>
  <c r="M167" i="25" s="1"/>
  <c r="M179" i="25"/>
  <c r="E309" i="25"/>
  <c r="F266" i="25"/>
  <c r="F221" i="25"/>
  <c r="E232" i="25"/>
  <c r="F232" i="25" s="1"/>
  <c r="L210" i="25"/>
  <c r="M200" i="25"/>
  <c r="F300" i="18"/>
  <c r="F292" i="18"/>
  <c r="F381" i="18"/>
  <c r="F291" i="18"/>
  <c r="F86" i="18"/>
  <c r="E392" i="25"/>
  <c r="E333" i="18"/>
  <c r="F120" i="28" l="1"/>
  <c r="F157" i="28"/>
  <c r="F46" i="28"/>
  <c r="G48" i="28" s="1"/>
  <c r="F29" i="28"/>
  <c r="F126" i="28"/>
  <c r="G128" i="28" s="1"/>
  <c r="E231" i="18"/>
  <c r="F768" i="25"/>
  <c r="E784" i="25"/>
  <c r="L768" i="25"/>
  <c r="M768" i="25" s="1"/>
  <c r="M754" i="25"/>
  <c r="E225" i="18"/>
  <c r="F225" i="18" s="1"/>
  <c r="G228" i="18" s="1"/>
  <c r="E80" i="18"/>
  <c r="F80" i="18" s="1"/>
  <c r="F333" i="18"/>
  <c r="G335" i="18" s="1"/>
  <c r="F615" i="25"/>
  <c r="E628" i="25"/>
  <c r="L404" i="25"/>
  <c r="M391" i="25"/>
  <c r="F77" i="18"/>
  <c r="E210" i="25"/>
  <c r="L220" i="25"/>
  <c r="M220" i="25" s="1"/>
  <c r="M210" i="25"/>
  <c r="F309" i="25"/>
  <c r="E279" i="25"/>
  <c r="F461" i="25"/>
  <c r="E474" i="25"/>
  <c r="L641" i="25"/>
  <c r="L680" i="25"/>
  <c r="M680" i="25" s="1"/>
  <c r="M628" i="25"/>
  <c r="E417" i="25"/>
  <c r="F404" i="25"/>
  <c r="E209" i="25"/>
  <c r="L209" i="25"/>
  <c r="M199" i="25"/>
  <c r="L392" i="25"/>
  <c r="E405" i="25"/>
  <c r="F392" i="25"/>
  <c r="L928" i="25"/>
  <c r="M842" i="25"/>
  <c r="L323" i="25"/>
  <c r="L350" i="25"/>
  <c r="M309" i="25"/>
  <c r="E240" i="25"/>
  <c r="L461" i="25"/>
  <c r="M448" i="25"/>
  <c r="M178" i="25"/>
  <c r="F85" i="18"/>
  <c r="F76" i="18"/>
  <c r="F24" i="28"/>
  <c r="G24" i="28" s="1"/>
  <c r="E397" i="18"/>
  <c r="F30" i="28" l="1"/>
  <c r="F121" i="28"/>
  <c r="F41" i="28"/>
  <c r="E62" i="18"/>
  <c r="F62" i="18" s="1"/>
  <c r="E752" i="25"/>
  <c r="E82" i="18"/>
  <c r="F82" i="18" s="1"/>
  <c r="G82" i="18" s="1"/>
  <c r="F784" i="25"/>
  <c r="E841" i="25"/>
  <c r="F841" i="25" s="1"/>
  <c r="E562" i="25"/>
  <c r="E855" i="25"/>
  <c r="E72" i="18"/>
  <c r="F72" i="18" s="1"/>
  <c r="E60" i="18"/>
  <c r="E137" i="18"/>
  <c r="F137" i="18" s="1"/>
  <c r="E69" i="18"/>
  <c r="F69" i="18" s="1"/>
  <c r="F231" i="18"/>
  <c r="G232" i="18" s="1"/>
  <c r="F397" i="18"/>
  <c r="M323" i="25"/>
  <c r="L336" i="25"/>
  <c r="M336" i="25" s="1"/>
  <c r="J847" i="25"/>
  <c r="M847" i="25" s="1"/>
  <c r="M849" i="25" s="1"/>
  <c r="E362" i="18" s="1"/>
  <c r="L219" i="25"/>
  <c r="M219" i="25" s="1"/>
  <c r="M209" i="25"/>
  <c r="E431" i="25"/>
  <c r="F417" i="25"/>
  <c r="F279" i="25"/>
  <c r="E322" i="25"/>
  <c r="E200" i="25"/>
  <c r="F200" i="25" s="1"/>
  <c r="E220" i="25"/>
  <c r="F210" i="25"/>
  <c r="L417" i="25"/>
  <c r="M404" i="25"/>
  <c r="L240" i="25"/>
  <c r="S240" i="25" s="1"/>
  <c r="E297" i="25"/>
  <c r="F240" i="25"/>
  <c r="C245" i="25" s="1"/>
  <c r="F245" i="25" s="1"/>
  <c r="F247" i="25" s="1"/>
  <c r="L198" i="25"/>
  <c r="L166" i="25" s="1"/>
  <c r="M166" i="25" s="1"/>
  <c r="L944" i="25"/>
  <c r="E929" i="25"/>
  <c r="F929" i="25" s="1"/>
  <c r="M928" i="25"/>
  <c r="E418" i="25"/>
  <c r="F405" i="25"/>
  <c r="E219" i="25"/>
  <c r="E199" i="25"/>
  <c r="F199" i="25" s="1"/>
  <c r="F209" i="25"/>
  <c r="L654" i="25"/>
  <c r="M654" i="25" s="1"/>
  <c r="L693" i="25"/>
  <c r="M693" i="25" s="1"/>
  <c r="M641" i="25"/>
  <c r="E641" i="25"/>
  <c r="F628" i="25"/>
  <c r="M461" i="25"/>
  <c r="L474" i="25"/>
  <c r="M350" i="25"/>
  <c r="L364" i="25"/>
  <c r="L405" i="25"/>
  <c r="M392" i="25"/>
  <c r="F474" i="25"/>
  <c r="E487" i="25"/>
  <c r="F293" i="18"/>
  <c r="E84" i="18"/>
  <c r="E396" i="18"/>
  <c r="E392" i="18"/>
  <c r="F83" i="28" l="1"/>
  <c r="G84" i="28" s="1"/>
  <c r="F123" i="28"/>
  <c r="F43" i="28"/>
  <c r="F111" i="28"/>
  <c r="F72" i="28"/>
  <c r="F42" i="28"/>
  <c r="E766" i="25"/>
  <c r="L752" i="25"/>
  <c r="E719" i="25"/>
  <c r="F719" i="25" s="1"/>
  <c r="C725" i="25" s="1"/>
  <c r="F725" i="25" s="1"/>
  <c r="F752" i="25"/>
  <c r="F761" i="25" s="1"/>
  <c r="E58" i="18" s="1"/>
  <c r="F58" i="18" s="1"/>
  <c r="E71" i="18"/>
  <c r="F71" i="18" s="1"/>
  <c r="E70" i="18"/>
  <c r="E138" i="18" s="1"/>
  <c r="F138" i="18" s="1"/>
  <c r="G141" i="18" s="1"/>
  <c r="E193" i="18"/>
  <c r="F193" i="18" s="1"/>
  <c r="E868" i="25"/>
  <c r="L855" i="25"/>
  <c r="M855" i="25" s="1"/>
  <c r="F855" i="25"/>
  <c r="L562" i="25"/>
  <c r="M562" i="25" s="1"/>
  <c r="E575" i="25"/>
  <c r="F562" i="25"/>
  <c r="E179" i="18"/>
  <c r="E281" i="18" s="1"/>
  <c r="E66" i="18"/>
  <c r="F66" i="18" s="1"/>
  <c r="S268" i="25"/>
  <c r="T268" i="25" s="1"/>
  <c r="Q273" i="25" s="1"/>
  <c r="T273" i="25" s="1"/>
  <c r="T275" i="25" s="1"/>
  <c r="S253" i="25"/>
  <c r="T253" i="25" s="1"/>
  <c r="Q258" i="25" s="1"/>
  <c r="T258" i="25" s="1"/>
  <c r="T260" i="25" s="1"/>
  <c r="T240" i="25"/>
  <c r="Q245" i="25" s="1"/>
  <c r="T245" i="25" s="1"/>
  <c r="T247" i="25" s="1"/>
  <c r="E30" i="18"/>
  <c r="F30" i="18" s="1"/>
  <c r="F396" i="18"/>
  <c r="L418" i="25"/>
  <c r="M405" i="25"/>
  <c r="E432" i="25"/>
  <c r="F418" i="25"/>
  <c r="L431" i="25"/>
  <c r="M431" i="25" s="1"/>
  <c r="M417" i="25"/>
  <c r="E335" i="25"/>
  <c r="F335" i="25" s="1"/>
  <c r="F322" i="25"/>
  <c r="E444" i="25"/>
  <c r="F431" i="25"/>
  <c r="F362" i="18"/>
  <c r="F487" i="25"/>
  <c r="E500" i="25"/>
  <c r="F500" i="25" s="1"/>
  <c r="M364" i="25"/>
  <c r="L378" i="25"/>
  <c r="M378" i="25" s="1"/>
  <c r="M198" i="25"/>
  <c r="L208" i="25"/>
  <c r="E350" i="25"/>
  <c r="E254" i="25"/>
  <c r="F254" i="25" s="1"/>
  <c r="C259" i="25" s="1"/>
  <c r="F259" i="25" s="1"/>
  <c r="F261" i="25" s="1"/>
  <c r="F297" i="25"/>
  <c r="E230" i="25"/>
  <c r="F230" i="25" s="1"/>
  <c r="F219" i="25"/>
  <c r="L268" i="25"/>
  <c r="M268" i="25" s="1"/>
  <c r="J273" i="25" s="1"/>
  <c r="M273" i="25" s="1"/>
  <c r="M275" i="25" s="1"/>
  <c r="L253" i="25"/>
  <c r="M240" i="25"/>
  <c r="E231" i="25"/>
  <c r="F231" i="25" s="1"/>
  <c r="F220" i="25"/>
  <c r="M474" i="25"/>
  <c r="L487" i="25"/>
  <c r="F641" i="25"/>
  <c r="E654" i="25"/>
  <c r="F654" i="25" s="1"/>
  <c r="E944" i="25"/>
  <c r="F944" i="25" s="1"/>
  <c r="M944" i="25"/>
  <c r="J948" i="25" s="1"/>
  <c r="M948" i="25" s="1"/>
  <c r="M951" i="25" s="1"/>
  <c r="E169" i="18" s="1"/>
  <c r="F84" i="18"/>
  <c r="G86" i="18" s="1"/>
  <c r="E123" i="18"/>
  <c r="F392" i="18"/>
  <c r="G394" i="18" s="1"/>
  <c r="F164" i="28"/>
  <c r="F122" i="28" l="1"/>
  <c r="F94" i="28"/>
  <c r="G98" i="28" s="1"/>
  <c r="F137" i="28"/>
  <c r="F54" i="28"/>
  <c r="F161" i="28"/>
  <c r="F130" i="28"/>
  <c r="G131" i="28" s="1"/>
  <c r="F124" i="28"/>
  <c r="E782" i="25"/>
  <c r="F766" i="25"/>
  <c r="F775" i="25" s="1"/>
  <c r="L766" i="25"/>
  <c r="M766" i="25" s="1"/>
  <c r="M775" i="25" s="1"/>
  <c r="M752" i="25"/>
  <c r="M761" i="25" s="1"/>
  <c r="E57" i="18" s="1"/>
  <c r="F57" i="18" s="1"/>
  <c r="L177" i="25"/>
  <c r="F70" i="18"/>
  <c r="E73" i="18"/>
  <c r="F73" i="18" s="1"/>
  <c r="G73" i="18" s="1"/>
  <c r="E589" i="25"/>
  <c r="L576" i="25"/>
  <c r="F575" i="25"/>
  <c r="E882" i="25"/>
  <c r="F882" i="25" s="1"/>
  <c r="L868" i="25"/>
  <c r="M868" i="25" s="1"/>
  <c r="F868" i="25"/>
  <c r="E294" i="18"/>
  <c r="F294" i="18" s="1"/>
  <c r="G295" i="18" s="1"/>
  <c r="E372" i="18"/>
  <c r="F372" i="18" s="1"/>
  <c r="F281" i="18"/>
  <c r="E253" i="18"/>
  <c r="F253" i="18" s="1"/>
  <c r="E151" i="18"/>
  <c r="F151" i="18" s="1"/>
  <c r="E34" i="18"/>
  <c r="F34" i="18" s="1"/>
  <c r="E249" i="18"/>
  <c r="F249" i="18" s="1"/>
  <c r="E146" i="18"/>
  <c r="F146" i="18" s="1"/>
  <c r="M487" i="25"/>
  <c r="L500" i="25"/>
  <c r="E208" i="25"/>
  <c r="M208" i="25"/>
  <c r="C302" i="25"/>
  <c r="F302" i="25" s="1"/>
  <c r="F304" i="25" s="1"/>
  <c r="E445" i="25"/>
  <c r="F432" i="25"/>
  <c r="J245" i="25"/>
  <c r="M245" i="25" s="1"/>
  <c r="M247" i="25" s="1"/>
  <c r="L281" i="25"/>
  <c r="M281" i="25" s="1"/>
  <c r="J286" i="25" s="1"/>
  <c r="M286" i="25" s="1"/>
  <c r="M288" i="25" s="1"/>
  <c r="M253" i="25"/>
  <c r="J258" i="25" s="1"/>
  <c r="M258" i="25" s="1"/>
  <c r="M260" i="25" s="1"/>
  <c r="E267" i="25"/>
  <c r="L297" i="25"/>
  <c r="E363" i="25"/>
  <c r="F363" i="25" s="1"/>
  <c r="C368" i="25" s="1"/>
  <c r="F368" i="25" s="1"/>
  <c r="F370" i="25" s="1"/>
  <c r="F350" i="25"/>
  <c r="C355" i="25" s="1"/>
  <c r="F355" i="25" s="1"/>
  <c r="F357" i="25" s="1"/>
  <c r="E457" i="25"/>
  <c r="L444" i="25"/>
  <c r="F444" i="25"/>
  <c r="L432" i="25"/>
  <c r="M432" i="25" s="1"/>
  <c r="M418" i="25"/>
  <c r="F382" i="18"/>
  <c r="G382" i="18" s="1"/>
  <c r="F123" i="18"/>
  <c r="F160" i="28"/>
  <c r="G164" i="28" l="1"/>
  <c r="G124" i="28"/>
  <c r="F44" i="28"/>
  <c r="G44" i="28" s="1"/>
  <c r="F38" i="28"/>
  <c r="F37" i="28"/>
  <c r="F117" i="28"/>
  <c r="E63" i="18"/>
  <c r="F63" i="18" s="1"/>
  <c r="E274" i="18"/>
  <c r="F274" i="18" s="1"/>
  <c r="E172" i="18"/>
  <c r="F172" i="18" s="1"/>
  <c r="E853" i="25"/>
  <c r="E839" i="25"/>
  <c r="F839" i="25" s="1"/>
  <c r="F848" i="25" s="1"/>
  <c r="E171" i="18" s="1"/>
  <c r="F171" i="18" s="1"/>
  <c r="F782" i="25"/>
  <c r="F791" i="25" s="1"/>
  <c r="E56" i="18" s="1"/>
  <c r="F56" i="18" s="1"/>
  <c r="L197" i="25"/>
  <c r="M177" i="25"/>
  <c r="J182" i="25" s="1"/>
  <c r="M182" i="25" s="1"/>
  <c r="M183" i="25" s="1"/>
  <c r="E136" i="18" s="1"/>
  <c r="F136" i="18" s="1"/>
  <c r="L589" i="25"/>
  <c r="M576" i="25"/>
  <c r="F589" i="25"/>
  <c r="E602" i="25"/>
  <c r="F602" i="25" s="1"/>
  <c r="E32" i="18"/>
  <c r="F32" i="18" s="1"/>
  <c r="E33" i="18"/>
  <c r="F33" i="18" s="1"/>
  <c r="E147" i="18"/>
  <c r="F147" i="18" s="1"/>
  <c r="E31" i="18"/>
  <c r="F31" i="18" s="1"/>
  <c r="E149" i="18"/>
  <c r="F149" i="18" s="1"/>
  <c r="E352" i="18"/>
  <c r="F352" i="18" s="1"/>
  <c r="E176" i="18"/>
  <c r="L457" i="25"/>
  <c r="M444" i="25"/>
  <c r="E218" i="25"/>
  <c r="E198" i="25"/>
  <c r="F198" i="25" s="1"/>
  <c r="F208" i="25"/>
  <c r="E513" i="25"/>
  <c r="E470" i="25"/>
  <c r="F457" i="25"/>
  <c r="L310" i="25"/>
  <c r="M297" i="25"/>
  <c r="M500" i="25"/>
  <c r="L513" i="25"/>
  <c r="E310" i="25"/>
  <c r="F267" i="25"/>
  <c r="C272" i="25" s="1"/>
  <c r="F272" i="25" s="1"/>
  <c r="F274" i="25" s="1"/>
  <c r="E458" i="25"/>
  <c r="L445" i="25"/>
  <c r="M445" i="25" s="1"/>
  <c r="F445" i="25"/>
  <c r="G38" i="28" l="1"/>
  <c r="F118" i="28"/>
  <c r="G118" i="28" s="1"/>
  <c r="F158" i="28"/>
  <c r="G158" i="28" s="1"/>
  <c r="E390" i="25"/>
  <c r="L165" i="25"/>
  <c r="M165" i="25" s="1"/>
  <c r="J170" i="25" s="1"/>
  <c r="M170" i="25" s="1"/>
  <c r="M171" i="25" s="1"/>
  <c r="E28" i="18" s="1"/>
  <c r="F28" i="18" s="1"/>
  <c r="M197" i="25"/>
  <c r="J202" i="25" s="1"/>
  <c r="M202" i="25" s="1"/>
  <c r="M203" i="25" s="1"/>
  <c r="E23" i="18" s="1"/>
  <c r="F23" i="18" s="1"/>
  <c r="L207" i="25"/>
  <c r="E866" i="25"/>
  <c r="L853" i="25"/>
  <c r="M853" i="25" s="1"/>
  <c r="M862" i="25" s="1"/>
  <c r="E365" i="18" s="1"/>
  <c r="F365" i="18" s="1"/>
  <c r="F853" i="25"/>
  <c r="F862" i="25" s="1"/>
  <c r="E273" i="18" s="1"/>
  <c r="F273" i="18" s="1"/>
  <c r="E192" i="18"/>
  <c r="F192" i="18" s="1"/>
  <c r="E199" i="18"/>
  <c r="F199" i="18" s="1"/>
  <c r="L602" i="25"/>
  <c r="M589" i="25"/>
  <c r="E118" i="18"/>
  <c r="E64" i="18"/>
  <c r="E248" i="18"/>
  <c r="F248" i="18" s="1"/>
  <c r="E278" i="18"/>
  <c r="E369" i="18"/>
  <c r="F176" i="18"/>
  <c r="E483" i="25"/>
  <c r="F470" i="25"/>
  <c r="L509" i="25"/>
  <c r="M509" i="25" s="1"/>
  <c r="M457" i="25"/>
  <c r="L470" i="25"/>
  <c r="E471" i="25"/>
  <c r="F458" i="25"/>
  <c r="L685" i="25"/>
  <c r="M513" i="25"/>
  <c r="J301" i="25"/>
  <c r="M301" i="25" s="1"/>
  <c r="L324" i="25"/>
  <c r="L351" i="25"/>
  <c r="M310" i="25"/>
  <c r="J314" i="25" s="1"/>
  <c r="M314" i="25" s="1"/>
  <c r="E526" i="25"/>
  <c r="F513" i="25"/>
  <c r="F218" i="25"/>
  <c r="L218" i="25"/>
  <c r="M218" i="25" s="1"/>
  <c r="E229" i="25"/>
  <c r="E280" i="25"/>
  <c r="F310" i="25"/>
  <c r="C315" i="25" s="1"/>
  <c r="F315" i="25" s="1"/>
  <c r="F317" i="25" s="1"/>
  <c r="F60" i="18"/>
  <c r="E65" i="18"/>
  <c r="L300" i="25"/>
  <c r="E197" i="18"/>
  <c r="F101" i="28" l="1"/>
  <c r="G101" i="28" s="1"/>
  <c r="F62" i="28"/>
  <c r="G62" i="28" s="1"/>
  <c r="E117" i="18"/>
  <c r="F117" i="18" s="1"/>
  <c r="L390" i="25"/>
  <c r="F390" i="25"/>
  <c r="C396" i="25" s="1"/>
  <c r="F396" i="25" s="1"/>
  <c r="F399" i="25" s="1"/>
  <c r="E36" i="18" s="1"/>
  <c r="F36" i="18" s="1"/>
  <c r="E403" i="25"/>
  <c r="L866" i="25"/>
  <c r="M866" i="25" s="1"/>
  <c r="M875" i="25" s="1"/>
  <c r="F866" i="25"/>
  <c r="F875" i="25" s="1"/>
  <c r="E880" i="25"/>
  <c r="F880" i="25" s="1"/>
  <c r="F889" i="25" s="1"/>
  <c r="M207" i="25"/>
  <c r="J212" i="25" s="1"/>
  <c r="M212" i="25" s="1"/>
  <c r="M213" i="25" s="1"/>
  <c r="E24" i="18" s="1"/>
  <c r="F24" i="18" s="1"/>
  <c r="E207" i="25"/>
  <c r="E370" i="18"/>
  <c r="E280" i="18"/>
  <c r="F280" i="18" s="1"/>
  <c r="L617" i="25"/>
  <c r="M602" i="25"/>
  <c r="F64" i="18"/>
  <c r="E178" i="18"/>
  <c r="E177" i="18"/>
  <c r="F118" i="18"/>
  <c r="G119" i="18" s="1"/>
  <c r="E148" i="18"/>
  <c r="F148" i="18" s="1"/>
  <c r="E367" i="18"/>
  <c r="F65" i="18"/>
  <c r="E175" i="18"/>
  <c r="L365" i="25"/>
  <c r="M351" i="25"/>
  <c r="J356" i="25" s="1"/>
  <c r="M356" i="25" s="1"/>
  <c r="M358" i="25" s="1"/>
  <c r="M470" i="25"/>
  <c r="L483" i="25"/>
  <c r="L313" i="25"/>
  <c r="M300" i="25"/>
  <c r="M304" i="25" s="1"/>
  <c r="F280" i="25"/>
  <c r="C285" i="25" s="1"/>
  <c r="F285" i="25" s="1"/>
  <c r="F287" i="25" s="1"/>
  <c r="E323" i="25"/>
  <c r="M324" i="25"/>
  <c r="J328" i="25" s="1"/>
  <c r="M328" i="25" s="1"/>
  <c r="M331" i="25" s="1"/>
  <c r="L337" i="25"/>
  <c r="M337" i="25" s="1"/>
  <c r="J341" i="25" s="1"/>
  <c r="M341" i="25" s="1"/>
  <c r="M344" i="25" s="1"/>
  <c r="L698" i="25"/>
  <c r="M685" i="25"/>
  <c r="E496" i="25"/>
  <c r="F496" i="25" s="1"/>
  <c r="F483" i="25"/>
  <c r="F229" i="25"/>
  <c r="L229" i="25"/>
  <c r="M229" i="25" s="1"/>
  <c r="E539" i="25"/>
  <c r="F526" i="25"/>
  <c r="L526" i="25"/>
  <c r="M526" i="25" s="1"/>
  <c r="E484" i="25"/>
  <c r="F471" i="25"/>
  <c r="F197" i="18"/>
  <c r="G199" i="18" s="1"/>
  <c r="E61" i="18"/>
  <c r="F58" i="28" l="1"/>
  <c r="G58" i="28" s="1"/>
  <c r="F141" i="28"/>
  <c r="G141" i="28" s="1"/>
  <c r="F147" i="28"/>
  <c r="G148" i="28" s="1"/>
  <c r="E371" i="18"/>
  <c r="F371" i="18" s="1"/>
  <c r="E416" i="25"/>
  <c r="F403" i="25"/>
  <c r="L403" i="25"/>
  <c r="M390" i="25"/>
  <c r="J396" i="25" s="1"/>
  <c r="M396" i="25" s="1"/>
  <c r="M399" i="25" s="1"/>
  <c r="E37" i="18" s="1"/>
  <c r="F37" i="18" s="1"/>
  <c r="E195" i="18"/>
  <c r="F195" i="18" s="1"/>
  <c r="G195" i="18" s="1"/>
  <c r="E217" i="25"/>
  <c r="E197" i="25"/>
  <c r="F197" i="25" s="1"/>
  <c r="C202" i="25" s="1"/>
  <c r="F202" i="25" s="1"/>
  <c r="F203" i="25" s="1"/>
  <c r="E25" i="18" s="1"/>
  <c r="F25" i="18" s="1"/>
  <c r="F207" i="25"/>
  <c r="C212" i="25" s="1"/>
  <c r="F212" i="25" s="1"/>
  <c r="F213" i="25" s="1"/>
  <c r="E26" i="18" s="1"/>
  <c r="F26" i="18" s="1"/>
  <c r="E182" i="18"/>
  <c r="F182" i="18" s="1"/>
  <c r="E279" i="18"/>
  <c r="F279" i="18" s="1"/>
  <c r="L630" i="25"/>
  <c r="M617" i="25"/>
  <c r="E617" i="25"/>
  <c r="E398" i="18"/>
  <c r="F398" i="18" s="1"/>
  <c r="G399" i="18" s="1"/>
  <c r="E276" i="18"/>
  <c r="E354" i="18"/>
  <c r="F354" i="18" s="1"/>
  <c r="E35" i="18"/>
  <c r="F35" i="18" s="1"/>
  <c r="E254" i="18"/>
  <c r="F254" i="18" s="1"/>
  <c r="E251" i="18"/>
  <c r="F251" i="18" s="1"/>
  <c r="E351" i="18"/>
  <c r="F351" i="18" s="1"/>
  <c r="F177" i="18"/>
  <c r="F370" i="18"/>
  <c r="E277" i="18"/>
  <c r="E368" i="18"/>
  <c r="F369" i="18"/>
  <c r="F278" i="18"/>
  <c r="F178" i="18"/>
  <c r="F179" i="18"/>
  <c r="F61" i="18"/>
  <c r="G66" i="18" s="1"/>
  <c r="L496" i="25"/>
  <c r="M496" i="25" s="1"/>
  <c r="M483" i="25"/>
  <c r="E497" i="25"/>
  <c r="F497" i="25" s="1"/>
  <c r="F484" i="25"/>
  <c r="F539" i="25"/>
  <c r="L539" i="25"/>
  <c r="M539" i="25" s="1"/>
  <c r="E552" i="25"/>
  <c r="M698" i="25"/>
  <c r="E711" i="25"/>
  <c r="L720" i="25" s="1"/>
  <c r="E336" i="25"/>
  <c r="F336" i="25" s="1"/>
  <c r="C341" i="25" s="1"/>
  <c r="F341" i="25" s="1"/>
  <c r="F343" i="25" s="1"/>
  <c r="F323" i="25"/>
  <c r="C328" i="25" s="1"/>
  <c r="F328" i="25" s="1"/>
  <c r="F330" i="25" s="1"/>
  <c r="L355" i="25"/>
  <c r="L369" i="25" s="1"/>
  <c r="L383" i="25" s="1"/>
  <c r="M313" i="25"/>
  <c r="M317" i="25" s="1"/>
  <c r="L379" i="25"/>
  <c r="M379" i="25" s="1"/>
  <c r="J384" i="25" s="1"/>
  <c r="M384" i="25" s="1"/>
  <c r="M386" i="25" s="1"/>
  <c r="M365" i="25"/>
  <c r="J370" i="25" s="1"/>
  <c r="M370" i="25" s="1"/>
  <c r="M372" i="25" s="1"/>
  <c r="E566" i="25"/>
  <c r="E1113" i="25"/>
  <c r="E1124" i="25" s="1"/>
  <c r="F31" i="28" l="1"/>
  <c r="F112" i="28"/>
  <c r="F73" i="28"/>
  <c r="C409" i="25"/>
  <c r="F409" i="25" s="1"/>
  <c r="F412" i="25"/>
  <c r="E38" i="18" s="1"/>
  <c r="F38" i="18" s="1"/>
  <c r="M403" i="25"/>
  <c r="J409" i="25" s="1"/>
  <c r="M409" i="25" s="1"/>
  <c r="M412" i="25" s="1"/>
  <c r="E153" i="18" s="1"/>
  <c r="F153" i="18" s="1"/>
  <c r="L416" i="25"/>
  <c r="E430" i="25"/>
  <c r="F416" i="25"/>
  <c r="C422" i="25" s="1"/>
  <c r="F422" i="25" s="1"/>
  <c r="F425" i="25" s="1"/>
  <c r="L217" i="25"/>
  <c r="M217" i="25" s="1"/>
  <c r="J222" i="25" s="1"/>
  <c r="M222" i="25" s="1"/>
  <c r="M223" i="25" s="1"/>
  <c r="E29" i="18" s="1"/>
  <c r="F29" i="18" s="1"/>
  <c r="E228" i="25"/>
  <c r="F217" i="25"/>
  <c r="C222" i="25" s="1"/>
  <c r="F222" i="25" s="1"/>
  <c r="F223" i="25" s="1"/>
  <c r="E22" i="18" s="1"/>
  <c r="F22" i="18" s="1"/>
  <c r="F75" i="28"/>
  <c r="E183" i="18"/>
  <c r="E185" i="18"/>
  <c r="F185" i="18" s="1"/>
  <c r="E630" i="25"/>
  <c r="F617" i="25"/>
  <c r="L643" i="25"/>
  <c r="M630" i="25"/>
  <c r="L736" i="25"/>
  <c r="M720" i="25"/>
  <c r="E353" i="18"/>
  <c r="F353" i="18" s="1"/>
  <c r="E252" i="18"/>
  <c r="F252" i="18" s="1"/>
  <c r="E152" i="18"/>
  <c r="F152" i="18" s="1"/>
  <c r="E150" i="18"/>
  <c r="F150" i="18" s="1"/>
  <c r="E250" i="18"/>
  <c r="F250" i="18" s="1"/>
  <c r="F367" i="18"/>
  <c r="F276" i="18"/>
  <c r="E724" i="25"/>
  <c r="F724" i="25" s="1"/>
  <c r="F728" i="25" s="1"/>
  <c r="F711" i="25"/>
  <c r="F715" i="25" s="1"/>
  <c r="L552" i="25"/>
  <c r="F552" i="25"/>
  <c r="E509" i="25"/>
  <c r="E579" i="25"/>
  <c r="F566" i="25"/>
  <c r="E174" i="18"/>
  <c r="F113" i="28" l="1"/>
  <c r="F32" i="28"/>
  <c r="F33" i="28"/>
  <c r="F74" i="28"/>
  <c r="G75" i="28" s="1"/>
  <c r="F35" i="28"/>
  <c r="E443" i="25"/>
  <c r="F430" i="25"/>
  <c r="C436" i="25" s="1"/>
  <c r="F436" i="25" s="1"/>
  <c r="F439" i="25" s="1"/>
  <c r="M416" i="25"/>
  <c r="J422" i="25" s="1"/>
  <c r="M422" i="25" s="1"/>
  <c r="M425" i="25" s="1"/>
  <c r="E255" i="18" s="1"/>
  <c r="F255" i="18" s="1"/>
  <c r="L430" i="25"/>
  <c r="M430" i="25" s="1"/>
  <c r="J436" i="25" s="1"/>
  <c r="M436" i="25" s="1"/>
  <c r="M439" i="25" s="1"/>
  <c r="E39" i="18" s="1"/>
  <c r="F39" i="18" s="1"/>
  <c r="L228" i="25"/>
  <c r="M228" i="25" s="1"/>
  <c r="M234" i="25" s="1"/>
  <c r="F228" i="25"/>
  <c r="C233" i="25" s="1"/>
  <c r="F233" i="25" s="1"/>
  <c r="F234" i="25" s="1"/>
  <c r="E27" i="18" s="1"/>
  <c r="F27" i="18" s="1"/>
  <c r="E184" i="18"/>
  <c r="L656" i="25"/>
  <c r="M656" i="25" s="1"/>
  <c r="M643" i="25"/>
  <c r="F630" i="25"/>
  <c r="E643" i="25"/>
  <c r="M736" i="25"/>
  <c r="E739" i="25"/>
  <c r="F739" i="25" s="1"/>
  <c r="E159" i="18"/>
  <c r="F159" i="18" s="1"/>
  <c r="E261" i="18"/>
  <c r="F261" i="18" s="1"/>
  <c r="F368" i="18"/>
  <c r="G372" i="18" s="1"/>
  <c r="F277" i="18"/>
  <c r="G281" i="18" s="1"/>
  <c r="F175" i="18"/>
  <c r="F183" i="18"/>
  <c r="M552" i="25"/>
  <c r="L565" i="25"/>
  <c r="M565" i="25" s="1"/>
  <c r="E522" i="25"/>
  <c r="F509" i="25"/>
  <c r="E561" i="25"/>
  <c r="L580" i="25"/>
  <c r="F579" i="25"/>
  <c r="E593" i="25"/>
  <c r="F34" i="28" l="1"/>
  <c r="G35" i="28" s="1"/>
  <c r="F114" i="28"/>
  <c r="F115" i="28"/>
  <c r="E456" i="25"/>
  <c r="L443" i="25"/>
  <c r="F443" i="25"/>
  <c r="C449" i="25" s="1"/>
  <c r="F449" i="25" s="1"/>
  <c r="F452" i="25" s="1"/>
  <c r="E40" i="18" s="1"/>
  <c r="F40" i="18" s="1"/>
  <c r="E154" i="18"/>
  <c r="F154" i="18" s="1"/>
  <c r="E256" i="18"/>
  <c r="F256" i="18" s="1"/>
  <c r="E656" i="25"/>
  <c r="F656" i="25" s="1"/>
  <c r="F643" i="25"/>
  <c r="F174" i="18"/>
  <c r="G179" i="18" s="1"/>
  <c r="F184" i="18"/>
  <c r="F593" i="25"/>
  <c r="E606" i="25"/>
  <c r="F606" i="25" s="1"/>
  <c r="E510" i="25"/>
  <c r="L522" i="25"/>
  <c r="M522" i="25" s="1"/>
  <c r="E535" i="25"/>
  <c r="F522" i="25"/>
  <c r="M580" i="25"/>
  <c r="L593" i="25"/>
  <c r="E574" i="25"/>
  <c r="L561" i="25"/>
  <c r="M561" i="25" s="1"/>
  <c r="F561" i="25"/>
  <c r="C567" i="25" s="1"/>
  <c r="F567" i="25" s="1"/>
  <c r="F569" i="25" s="1"/>
  <c r="E668" i="25"/>
  <c r="G115" i="28" l="1"/>
  <c r="G181" i="28" s="1"/>
  <c r="M443" i="25"/>
  <c r="J449" i="25" s="1"/>
  <c r="M449" i="25" s="1"/>
  <c r="M452" i="25" s="1"/>
  <c r="E41" i="18" s="1"/>
  <c r="F41" i="18" s="1"/>
  <c r="L456" i="25"/>
  <c r="E469" i="25"/>
  <c r="F456" i="25"/>
  <c r="C462" i="25" s="1"/>
  <c r="F462" i="25" s="1"/>
  <c r="F465" i="25" s="1"/>
  <c r="E42" i="18" s="1"/>
  <c r="F42" i="18" s="1"/>
  <c r="E1107" i="25"/>
  <c r="E1056" i="25"/>
  <c r="E46" i="18"/>
  <c r="F46" i="18" s="1"/>
  <c r="L606" i="25"/>
  <c r="M593" i="25"/>
  <c r="L575" i="25"/>
  <c r="E588" i="25"/>
  <c r="F574" i="25"/>
  <c r="C580" i="25" s="1"/>
  <c r="F580" i="25" s="1"/>
  <c r="F582" i="25" s="1"/>
  <c r="L535" i="25"/>
  <c r="M535" i="25" s="1"/>
  <c r="E548" i="25"/>
  <c r="F535" i="25"/>
  <c r="E523" i="25"/>
  <c r="F510" i="25"/>
  <c r="E681" i="25"/>
  <c r="F668" i="25"/>
  <c r="J566" i="25"/>
  <c r="M566" i="25" s="1"/>
  <c r="M569" i="25" s="1"/>
  <c r="E358" i="18" s="1"/>
  <c r="E1108" i="25"/>
  <c r="E669" i="25"/>
  <c r="F185" i="28" l="1"/>
  <c r="F186" i="28"/>
  <c r="F191" i="28"/>
  <c r="F189" i="28"/>
  <c r="F188" i="28"/>
  <c r="F190" i="28"/>
  <c r="F192" i="28"/>
  <c r="F187" i="28"/>
  <c r="F469" i="25"/>
  <c r="C475" i="25" s="1"/>
  <c r="F475" i="25" s="1"/>
  <c r="F478" i="25" s="1"/>
  <c r="E156" i="18" s="1"/>
  <c r="F156" i="18" s="1"/>
  <c r="E482" i="25"/>
  <c r="L508" i="25"/>
  <c r="M508" i="25" s="1"/>
  <c r="J514" i="25" s="1"/>
  <c r="M514" i="25" s="1"/>
  <c r="M517" i="25" s="1"/>
  <c r="E259" i="18" s="1"/>
  <c r="F259" i="18" s="1"/>
  <c r="L469" i="25"/>
  <c r="M456" i="25"/>
  <c r="J462" i="25" s="1"/>
  <c r="M462" i="25" s="1"/>
  <c r="M465" i="25" s="1"/>
  <c r="E155" i="18" s="1"/>
  <c r="F155" i="18" s="1"/>
  <c r="E1118" i="25"/>
  <c r="F1118" i="25" s="1"/>
  <c r="F1107" i="25"/>
  <c r="F1056" i="25"/>
  <c r="E1068" i="25"/>
  <c r="E186" i="18"/>
  <c r="F186" i="18" s="1"/>
  <c r="G187" i="18" s="1"/>
  <c r="E162" i="18"/>
  <c r="F162" i="18" s="1"/>
  <c r="F358" i="18"/>
  <c r="L523" i="25"/>
  <c r="M523" i="25" s="1"/>
  <c r="E536" i="25"/>
  <c r="F523" i="25"/>
  <c r="C514" i="25"/>
  <c r="F514" i="25" s="1"/>
  <c r="F517" i="25" s="1"/>
  <c r="E682" i="25"/>
  <c r="F669" i="25"/>
  <c r="C674" i="25" s="1"/>
  <c r="F674" i="25" s="1"/>
  <c r="F676" i="25" s="1"/>
  <c r="E601" i="25"/>
  <c r="F601" i="25" s="1"/>
  <c r="C607" i="25" s="1"/>
  <c r="F607" i="25" s="1"/>
  <c r="F609" i="25" s="1"/>
  <c r="F588" i="25"/>
  <c r="C594" i="25" s="1"/>
  <c r="F594" i="25" s="1"/>
  <c r="F596" i="25" s="1"/>
  <c r="E694" i="25"/>
  <c r="F681" i="25"/>
  <c r="L548" i="25"/>
  <c r="M548" i="25" s="1"/>
  <c r="F548" i="25"/>
  <c r="L588" i="25"/>
  <c r="M575" i="25"/>
  <c r="J581" i="25" s="1"/>
  <c r="M581" i="25" s="1"/>
  <c r="M583" i="25" s="1"/>
  <c r="E45" i="18" s="1"/>
  <c r="L621" i="25"/>
  <c r="M606" i="25"/>
  <c r="E1057" i="25"/>
  <c r="F1057" i="25" s="1"/>
  <c r="E1119" i="25"/>
  <c r="F1119" i="25" s="1"/>
  <c r="E1109" i="25"/>
  <c r="F1108" i="25"/>
  <c r="G192" i="28" l="1"/>
  <c r="G202" i="28" s="1"/>
  <c r="M469" i="25"/>
  <c r="J475" i="25" s="1"/>
  <c r="M475" i="25" s="1"/>
  <c r="M478" i="25" s="1"/>
  <c r="E257" i="18" s="1"/>
  <c r="F257" i="18" s="1"/>
  <c r="L482" i="25"/>
  <c r="E495" i="25"/>
  <c r="F495" i="25" s="1"/>
  <c r="F482" i="25"/>
  <c r="C488" i="25" s="1"/>
  <c r="F488" i="25" s="1"/>
  <c r="F491" i="25" s="1"/>
  <c r="E258" i="18" s="1"/>
  <c r="F258" i="18" s="1"/>
  <c r="F1068" i="25"/>
  <c r="E1080" i="25"/>
  <c r="F1080" i="25" s="1"/>
  <c r="F694" i="25"/>
  <c r="L715" i="25"/>
  <c r="E52" i="18"/>
  <c r="F52" i="18" s="1"/>
  <c r="E359" i="18"/>
  <c r="F359" i="18" s="1"/>
  <c r="E265" i="18"/>
  <c r="F265" i="18" s="1"/>
  <c r="E43" i="18"/>
  <c r="F43" i="18" s="1"/>
  <c r="L601" i="25"/>
  <c r="M588" i="25"/>
  <c r="J594" i="25" s="1"/>
  <c r="M594" i="25" s="1"/>
  <c r="M596" i="25" s="1"/>
  <c r="C527" i="25"/>
  <c r="F527" i="25" s="1"/>
  <c r="F530" i="25" s="1"/>
  <c r="E695" i="25"/>
  <c r="L682" i="25"/>
  <c r="F682" i="25"/>
  <c r="C687" i="25" s="1"/>
  <c r="F687" i="25" s="1"/>
  <c r="F689" i="25" s="1"/>
  <c r="F536" i="25"/>
  <c r="L536" i="25"/>
  <c r="M536" i="25" s="1"/>
  <c r="E549" i="25"/>
  <c r="M621" i="25"/>
  <c r="E621" i="25"/>
  <c r="F621" i="25" s="1"/>
  <c r="L634" i="25"/>
  <c r="J527" i="25"/>
  <c r="M527" i="25" s="1"/>
  <c r="M530" i="25" s="1"/>
  <c r="E1120" i="25"/>
  <c r="F1120" i="25" s="1"/>
  <c r="C1125" i="25" s="1"/>
  <c r="F1125" i="25" s="1"/>
  <c r="G1125" i="25" s="1"/>
  <c r="E50" i="18" s="1"/>
  <c r="E1058" i="25"/>
  <c r="F1058" i="25" s="1"/>
  <c r="E1097" i="25"/>
  <c r="F1097" i="25" s="1"/>
  <c r="G1102" i="25" s="1"/>
  <c r="F75" i="18" s="1"/>
  <c r="E1069" i="25"/>
  <c r="C1062" i="25"/>
  <c r="F1062" i="25" s="1"/>
  <c r="F1109" i="25"/>
  <c r="C1114" i="25" s="1"/>
  <c r="F1114" i="25" s="1"/>
  <c r="M482" i="25" l="1"/>
  <c r="J488" i="25" s="1"/>
  <c r="M488" i="25" s="1"/>
  <c r="M491" i="25" s="1"/>
  <c r="E355" i="18" s="1"/>
  <c r="F355" i="18" s="1"/>
  <c r="L495" i="25"/>
  <c r="M495" i="25" s="1"/>
  <c r="J501" i="25" s="1"/>
  <c r="M501" i="25" s="1"/>
  <c r="M504" i="25" s="1"/>
  <c r="E157" i="18" s="1"/>
  <c r="F157" i="18" s="1"/>
  <c r="C501" i="25"/>
  <c r="F501" i="25" s="1"/>
  <c r="F504" i="25"/>
  <c r="E356" i="18" s="1"/>
  <c r="F356" i="18" s="1"/>
  <c r="F695" i="25"/>
  <c r="C700" i="25" s="1"/>
  <c r="F700" i="25" s="1"/>
  <c r="F702" i="25" s="1"/>
  <c r="E269" i="18" s="1"/>
  <c r="F269" i="18" s="1"/>
  <c r="L716" i="25"/>
  <c r="L731" i="25"/>
  <c r="M715" i="25"/>
  <c r="E160" i="18"/>
  <c r="F160" i="18" s="1"/>
  <c r="E167" i="18"/>
  <c r="F167" i="18" s="1"/>
  <c r="E163" i="18"/>
  <c r="F163" i="18" s="1"/>
  <c r="E44" i="18"/>
  <c r="F44" i="18" s="1"/>
  <c r="F1069" i="25"/>
  <c r="E1081" i="25"/>
  <c r="F1081" i="25" s="1"/>
  <c r="C1086" i="25" s="1"/>
  <c r="F1086" i="25" s="1"/>
  <c r="L549" i="25"/>
  <c r="M549" i="25" s="1"/>
  <c r="F549" i="25"/>
  <c r="L695" i="25"/>
  <c r="M695" i="25" s="1"/>
  <c r="M682" i="25"/>
  <c r="C540" i="25"/>
  <c r="F540" i="25" s="1"/>
  <c r="F543" i="25" s="1"/>
  <c r="E634" i="25"/>
  <c r="F634" i="25" s="1"/>
  <c r="L647" i="25"/>
  <c r="M634" i="25"/>
  <c r="J540" i="25"/>
  <c r="M540" i="25" s="1"/>
  <c r="M543" i="25" s="1"/>
  <c r="M601" i="25"/>
  <c r="J607" i="25" s="1"/>
  <c r="M607" i="25" s="1"/>
  <c r="M609" i="25" s="1"/>
  <c r="L616" i="25"/>
  <c r="F50" i="18"/>
  <c r="C1074" i="25"/>
  <c r="F1074" i="25" s="1"/>
  <c r="E1070" i="25"/>
  <c r="G1062" i="25"/>
  <c r="G1063" i="25" s="1"/>
  <c r="E51" i="18" s="1"/>
  <c r="G1114" i="25"/>
  <c r="E49" i="18" s="1"/>
  <c r="F45" i="18"/>
  <c r="E299" i="18" l="1"/>
  <c r="F299" i="18" s="1"/>
  <c r="E734" i="25"/>
  <c r="F734" i="25" s="1"/>
  <c r="M731" i="25"/>
  <c r="L732" i="25"/>
  <c r="M716" i="25"/>
  <c r="J721" i="25" s="1"/>
  <c r="M721" i="25" s="1"/>
  <c r="E264" i="18"/>
  <c r="F264" i="18" s="1"/>
  <c r="E161" i="18"/>
  <c r="F161" i="18" s="1"/>
  <c r="E262" i="18"/>
  <c r="F262" i="18" s="1"/>
  <c r="F1070" i="25"/>
  <c r="G1074" i="25" s="1"/>
  <c r="G1075" i="25" s="1"/>
  <c r="E166" i="18" s="1"/>
  <c r="E1082" i="25"/>
  <c r="F1082" i="25" s="1"/>
  <c r="G1086" i="25" s="1"/>
  <c r="G1087" i="25" s="1"/>
  <c r="E268" i="18" s="1"/>
  <c r="C553" i="25"/>
  <c r="F553" i="25" s="1"/>
  <c r="F556" i="25" s="1"/>
  <c r="E357" i="18" s="1"/>
  <c r="L660" i="25"/>
  <c r="M660" i="25" s="1"/>
  <c r="M647" i="25"/>
  <c r="E647" i="25"/>
  <c r="L629" i="25"/>
  <c r="M616" i="25"/>
  <c r="E616" i="25"/>
  <c r="J553" i="25"/>
  <c r="M553" i="25" s="1"/>
  <c r="M556" i="25" s="1"/>
  <c r="F49" i="18"/>
  <c r="F51" i="18"/>
  <c r="E735" i="25" l="1"/>
  <c r="F735" i="25" s="1"/>
  <c r="C740" i="25" s="1"/>
  <c r="F740" i="25" s="1"/>
  <c r="F742" i="25" s="1"/>
  <c r="M732" i="25"/>
  <c r="J737" i="25"/>
  <c r="M737" i="25" s="1"/>
  <c r="M739" i="25" s="1"/>
  <c r="M723" i="25"/>
  <c r="E263" i="18"/>
  <c r="F263" i="18" s="1"/>
  <c r="F357" i="18"/>
  <c r="J622" i="25"/>
  <c r="M622" i="25" s="1"/>
  <c r="M624" i="25" s="1"/>
  <c r="E360" i="18" s="1"/>
  <c r="F616" i="25"/>
  <c r="C622" i="25" s="1"/>
  <c r="F622" i="25" s="1"/>
  <c r="F624" i="25" s="1"/>
  <c r="E629" i="25"/>
  <c r="L642" i="25"/>
  <c r="L681" i="25"/>
  <c r="M681" i="25" s="1"/>
  <c r="J686" i="25" s="1"/>
  <c r="M686" i="25" s="1"/>
  <c r="M689" i="25" s="1"/>
  <c r="M629" i="25"/>
  <c r="J635" i="25" s="1"/>
  <c r="M635" i="25" s="1"/>
  <c r="M637" i="25" s="1"/>
  <c r="E660" i="25"/>
  <c r="F647" i="25"/>
  <c r="F268" i="18"/>
  <c r="F166" i="18"/>
  <c r="F660" i="25" l="1"/>
  <c r="E673" i="25"/>
  <c r="E686" i="25" s="1"/>
  <c r="E699" i="25" s="1"/>
  <c r="E158" i="18"/>
  <c r="F158" i="18" s="1"/>
  <c r="E47" i="18"/>
  <c r="F47" i="18" s="1"/>
  <c r="E48" i="18"/>
  <c r="F48" i="18" s="1"/>
  <c r="F360" i="18"/>
  <c r="F629" i="25"/>
  <c r="C635" i="25" s="1"/>
  <c r="F635" i="25" s="1"/>
  <c r="F637" i="25" s="1"/>
  <c r="E642" i="25"/>
  <c r="L694" i="25"/>
  <c r="M694" i="25" s="1"/>
  <c r="J699" i="25" s="1"/>
  <c r="M699" i="25" s="1"/>
  <c r="M702" i="25" s="1"/>
  <c r="L655" i="25"/>
  <c r="M655" i="25" s="1"/>
  <c r="J661" i="25" s="1"/>
  <c r="M661" i="25" s="1"/>
  <c r="M663" i="25" s="1"/>
  <c r="M642" i="25"/>
  <c r="J648" i="25" s="1"/>
  <c r="M648" i="25" s="1"/>
  <c r="M650" i="25" s="1"/>
  <c r="E165" i="18" l="1"/>
  <c r="F165" i="18" s="1"/>
  <c r="E260" i="18"/>
  <c r="F260" i="18" s="1"/>
  <c r="E164" i="18"/>
  <c r="F164" i="18" s="1"/>
  <c r="E266" i="18"/>
  <c r="F266" i="18" s="1"/>
  <c r="F642" i="25"/>
  <c r="C648" i="25" s="1"/>
  <c r="F648" i="25" s="1"/>
  <c r="F650" i="25" s="1"/>
  <c r="E655" i="25"/>
  <c r="F655" i="25" s="1"/>
  <c r="C661" i="25" s="1"/>
  <c r="F661" i="25" s="1"/>
  <c r="F663" i="25" s="1"/>
  <c r="E361" i="18" l="1"/>
  <c r="F361" i="18" s="1"/>
  <c r="E267" i="18"/>
  <c r="F267" i="18" s="1"/>
  <c r="E284" i="18"/>
  <c r="F284" i="18" l="1"/>
  <c r="E285" i="18"/>
  <c r="F285" i="18" l="1"/>
  <c r="E286" i="18"/>
  <c r="F286" i="18" l="1"/>
  <c r="E288" i="18" l="1"/>
  <c r="F288" i="18" s="1"/>
  <c r="G289" i="18" s="1"/>
  <c r="E375" i="18" l="1"/>
  <c r="F375" i="18" l="1"/>
  <c r="E376" i="18"/>
  <c r="F376" i="18" l="1"/>
  <c r="E377" i="18"/>
  <c r="F377" i="18" l="1"/>
  <c r="E379" i="18" l="1"/>
  <c r="F379" i="18" l="1"/>
  <c r="G379" i="18" s="1"/>
  <c r="C53" i="18" l="1"/>
  <c r="M800" i="25"/>
  <c r="J806" i="25" s="1"/>
  <c r="M806" i="25" s="1"/>
  <c r="M809" i="25" s="1"/>
  <c r="E53" i="18" s="1"/>
  <c r="M828" i="25"/>
  <c r="E801" i="25"/>
  <c r="E807" i="25" s="1"/>
  <c r="F807" i="25" s="1"/>
  <c r="M926" i="25"/>
  <c r="J932" i="25" l="1"/>
  <c r="M932" i="25" s="1"/>
  <c r="M935" i="25" s="1"/>
  <c r="E54" i="18" s="1"/>
  <c r="F53" i="18"/>
  <c r="J833" i="25"/>
  <c r="M833" i="25" s="1"/>
  <c r="M836" i="25" s="1"/>
  <c r="E270" i="18" s="1"/>
  <c r="E897" i="25"/>
  <c r="E1042" i="25"/>
  <c r="F1042" i="25" s="1"/>
  <c r="E812" i="25"/>
  <c r="F812" i="25" s="1"/>
  <c r="F801" i="25"/>
  <c r="M814" i="25"/>
  <c r="E345" i="18" l="1"/>
  <c r="E239" i="18"/>
  <c r="F54" i="18"/>
  <c r="J820" i="25"/>
  <c r="M820" i="25" s="1"/>
  <c r="M823" i="25" s="1"/>
  <c r="E168" i="18" s="1"/>
  <c r="F345" i="18"/>
  <c r="G346" i="18" s="1"/>
  <c r="E124" i="18"/>
  <c r="F897" i="25"/>
  <c r="L897" i="25"/>
  <c r="E908" i="25"/>
  <c r="F908" i="25" s="1"/>
  <c r="E903" i="25"/>
  <c r="F903" i="25" s="1"/>
  <c r="G819" i="25"/>
  <c r="F927" i="25"/>
  <c r="F942" i="25"/>
  <c r="F124" i="18" l="1"/>
  <c r="G132" i="18" s="1"/>
  <c r="F239" i="18"/>
  <c r="G243" i="18" s="1"/>
  <c r="C949" i="25"/>
  <c r="F949" i="25" s="1"/>
  <c r="F951" i="25" s="1"/>
  <c r="E363" i="18" s="1"/>
  <c r="C933" i="25"/>
  <c r="F933" i="25" s="1"/>
  <c r="F936" i="25" s="1"/>
  <c r="E271" i="18" s="1"/>
  <c r="F168" i="18"/>
  <c r="F270" i="18"/>
  <c r="G820" i="25"/>
  <c r="G821" i="25"/>
  <c r="L903" i="25"/>
  <c r="M903" i="25" s="1"/>
  <c r="M897" i="25"/>
  <c r="L908" i="25"/>
  <c r="M908" i="25" s="1"/>
  <c r="G921" i="25"/>
  <c r="G915" i="25"/>
  <c r="E55" i="18" l="1"/>
  <c r="F55" i="18" s="1"/>
  <c r="G58" i="18" s="1"/>
  <c r="F271" i="18"/>
  <c r="F169" i="18"/>
  <c r="N915" i="25"/>
  <c r="N917" i="25" s="1"/>
  <c r="E272" i="18" s="1"/>
  <c r="G917" i="25"/>
  <c r="E170" i="18" s="1"/>
  <c r="G916" i="25"/>
  <c r="F272" i="18" l="1"/>
  <c r="G274" i="18" s="1"/>
  <c r="F363" i="18"/>
  <c r="G365" i="18" s="1"/>
  <c r="N916" i="25"/>
  <c r="F170" i="18" l="1"/>
  <c r="G172" i="18" s="1"/>
  <c r="F832" i="25" l="1"/>
  <c r="E301" i="18" l="1"/>
  <c r="F301" i="18" s="1"/>
  <c r="G301" i="18" s="1"/>
  <c r="F78" i="18"/>
  <c r="G80" i="18" s="1"/>
  <c r="G589" i="18" s="1"/>
  <c r="F596" i="18" l="1"/>
  <c r="F594" i="18" l="1"/>
  <c r="F592" i="18"/>
  <c r="F600" i="18"/>
  <c r="F599" i="18"/>
  <c r="F597" i="18"/>
  <c r="F595" i="18"/>
  <c r="F593" i="18"/>
  <c r="F598" i="18" l="1"/>
  <c r="G600" i="18" s="1"/>
  <c r="G602" i="18" s="1"/>
</calcChain>
</file>

<file path=xl/sharedStrings.xml><?xml version="1.0" encoding="utf-8"?>
<sst xmlns="http://schemas.openxmlformats.org/spreadsheetml/2006/main" count="4703" uniqueCount="1208">
  <si>
    <t>qq</t>
  </si>
  <si>
    <t>No.</t>
  </si>
  <si>
    <t>PA</t>
  </si>
  <si>
    <t>Bloques de 6"</t>
  </si>
  <si>
    <t>COSTO/M2</t>
  </si>
  <si>
    <t>Unidad</t>
  </si>
  <si>
    <t>Molde para viga de 0.20x0.20</t>
  </si>
  <si>
    <t>Herramientas y equipos</t>
  </si>
  <si>
    <t>P.A.</t>
  </si>
  <si>
    <t>Cal</t>
  </si>
  <si>
    <t>p2</t>
  </si>
  <si>
    <t>m2</t>
  </si>
  <si>
    <t>u</t>
  </si>
  <si>
    <t>qqs</t>
  </si>
  <si>
    <t>Alambre</t>
  </si>
  <si>
    <t>lbs</t>
  </si>
  <si>
    <t>UD</t>
  </si>
  <si>
    <t>Rollo</t>
  </si>
  <si>
    <t>par</t>
  </si>
  <si>
    <t>DESCRIPCION</t>
  </si>
  <si>
    <t>CANTIDAD</t>
  </si>
  <si>
    <t>Escalones de granito fondo blanco</t>
  </si>
  <si>
    <t>fda.</t>
  </si>
  <si>
    <t>Ligado y vaciado</t>
  </si>
  <si>
    <t>P2</t>
  </si>
  <si>
    <t>m3</t>
  </si>
  <si>
    <t>gl</t>
  </si>
  <si>
    <t>Zabaletas de piso</t>
  </si>
  <si>
    <t>Calzos</t>
  </si>
  <si>
    <t>ud</t>
  </si>
  <si>
    <t>lb</t>
  </si>
  <si>
    <t>Mano de obra acero</t>
  </si>
  <si>
    <t>pa</t>
  </si>
  <si>
    <t xml:space="preserve"> </t>
  </si>
  <si>
    <t>rollo</t>
  </si>
  <si>
    <t>Cantos</t>
  </si>
  <si>
    <t>ml</t>
  </si>
  <si>
    <t>fda</t>
  </si>
  <si>
    <t>Alambre # 18</t>
  </si>
  <si>
    <t>M2</t>
  </si>
  <si>
    <t>dia</t>
  </si>
  <si>
    <t>Hormigón 210 kg/cm2 industrial</t>
  </si>
  <si>
    <t>Ligado y vaciado en zapata indust.</t>
  </si>
  <si>
    <t>Acero</t>
  </si>
  <si>
    <t>Ligado y vaciado  industrial</t>
  </si>
  <si>
    <t>Molde para viga de 0.15x0.20</t>
  </si>
  <si>
    <t xml:space="preserve">Acero </t>
  </si>
  <si>
    <t>Ligado y vaciado industrial</t>
  </si>
  <si>
    <t>Molde para col. 0.15x0.30</t>
  </si>
  <si>
    <t>Molde para col. 0.20x0.30</t>
  </si>
  <si>
    <t>Abrazadera de 2 1/2"</t>
  </si>
  <si>
    <t>Sum. E Instalacion Alambre de Trinchera</t>
  </si>
  <si>
    <t>Alambre galvanizado #14</t>
  </si>
  <si>
    <t>Barra tensora de 6'</t>
  </si>
  <si>
    <t>Copa Final 1 1/2"</t>
  </si>
  <si>
    <t>Corte y soldadura de abrazaderas</t>
  </si>
  <si>
    <t>Hoja de segueta</t>
  </si>
  <si>
    <t>Malla ciclónica 6 pies, cal. 9, (rollo de 50 pies)</t>
  </si>
  <si>
    <t>Reata de amarre (zabaleta doble sin mano de obra)</t>
  </si>
  <si>
    <t>m</t>
  </si>
  <si>
    <t>Palometa 1 1/2" doble, en aluminio fundido</t>
  </si>
  <si>
    <t>Terminal de 1 1/4" + abrazadera de 1 1/2"</t>
  </si>
  <si>
    <t>Tubo HG ligero de 2" x 20'</t>
  </si>
  <si>
    <t>Tubo HG ligero de 1 1/4" x 20'</t>
  </si>
  <si>
    <t>Mano obra Instalación</t>
  </si>
  <si>
    <t>COSTO/ML --&gt;</t>
  </si>
  <si>
    <t>TOTAL ---&gt;</t>
  </si>
  <si>
    <t>COSTO/M2 --&gt;</t>
  </si>
  <si>
    <t>Area --&gt;</t>
  </si>
  <si>
    <t>Perfil 1 1/2" x 1 1/2"  X 1.2 de 20´  HN</t>
  </si>
  <si>
    <t xml:space="preserve">Soldadura 1/8"  universal tipo industrial </t>
  </si>
  <si>
    <t>Cepillo alambre, discos pulir y de corte</t>
  </si>
  <si>
    <t xml:space="preserve">Bisagras cáncamo , fuertes No 18 </t>
  </si>
  <si>
    <t>Orejas para candados redondeadas  de  11/4"x1 1/2" con  orif. 1/2"</t>
  </si>
  <si>
    <t>Mano de Obra Herreria</t>
  </si>
  <si>
    <t>pie2</t>
  </si>
  <si>
    <t>COSTO/UND --&gt;</t>
  </si>
  <si>
    <t>Barra red. de 3/4" x 20"</t>
  </si>
  <si>
    <t xml:space="preserve">Perfil 2 "X 1" X 3/16 de 20´ H N </t>
  </si>
  <si>
    <t xml:space="preserve">Perfil 2 "X 2" X 1.2 de 20´ H N </t>
  </si>
  <si>
    <t>Tola 4x7 x 1/2"</t>
  </si>
  <si>
    <t>und</t>
  </si>
  <si>
    <t xml:space="preserve">Puertas en hierro y tola </t>
  </si>
  <si>
    <t>Puertas de Barrotes de Ø ¾ ¨</t>
  </si>
  <si>
    <t>Malla Hid Read 3/8"</t>
  </si>
  <si>
    <t>Malla de Piñonate 3/8"</t>
  </si>
  <si>
    <t>C/Malla D2.3X D2.3 de 0.15 x 0.15</t>
  </si>
  <si>
    <t>Mano de obra acero Malla</t>
  </si>
  <si>
    <t>Regla (1 de 1"x4"x2.62' / 10 usos)</t>
  </si>
  <si>
    <t>COSTO/M2 ---&gt;</t>
  </si>
  <si>
    <t>%</t>
  </si>
  <si>
    <t>ML</t>
  </si>
  <si>
    <t>Sum. Y Colocación Grama Enana (Incluye Tierra negra e=0.20 m)</t>
  </si>
  <si>
    <t>Sum. Tierra Negra</t>
  </si>
  <si>
    <t>Acarreo Interno Tierra Negra con Minicargador</t>
  </si>
  <si>
    <t>Regado de Tierra Negra</t>
  </si>
  <si>
    <t>Sum. Grama enana</t>
  </si>
  <si>
    <t>Sembrado de Grama</t>
  </si>
  <si>
    <r>
      <t xml:space="preserve">Costo/M2   </t>
    </r>
    <r>
      <rPr>
        <sz val="10"/>
        <rFont val="Wingdings"/>
        <charset val="2"/>
      </rPr>
      <t>à</t>
    </r>
  </si>
  <si>
    <t>Clavos</t>
  </si>
  <si>
    <t>pt</t>
  </si>
  <si>
    <t>COLOCACION JUNTA POLIETILENEO DE 2" ENTRE COLUMNAS C1 (0.20X0.30)</t>
  </si>
  <si>
    <t>Area Bobedilla Polietileneo--&gt;</t>
  </si>
  <si>
    <t>Sum Junta Polietileno (3.00 x 0.30 x 0.05)</t>
  </si>
  <si>
    <t>Col. Junta Polietileno (3.00 x 0.30 x 0.05)</t>
  </si>
  <si>
    <t xml:space="preserve">Sum. Alambre #18 </t>
  </si>
  <si>
    <t>Colocacion Alambre</t>
  </si>
  <si>
    <t>Herramientas y Miscelaneos</t>
  </si>
  <si>
    <t>M3</t>
  </si>
  <si>
    <t>Hr</t>
  </si>
  <si>
    <t>Operador</t>
  </si>
  <si>
    <t>Lubricantes</t>
  </si>
  <si>
    <t>Encofrado</t>
  </si>
  <si>
    <t xml:space="preserve">Herramientas &amp; Seguridad  </t>
  </si>
  <si>
    <t>ALAMBRE DE TRINCHERA SOBRE MUROS</t>
  </si>
  <si>
    <t>Suministro Alambre</t>
  </si>
  <si>
    <t>Suministro Palometa y Accesorios</t>
  </si>
  <si>
    <t>Suministro e instalación de alambre #10</t>
  </si>
  <si>
    <t>Mano de obra Instalación Trinchera</t>
  </si>
  <si>
    <t>Desperdicios y retoques.</t>
  </si>
  <si>
    <t xml:space="preserve">Contenes </t>
  </si>
  <si>
    <t>uds</t>
  </si>
  <si>
    <t>QQ</t>
  </si>
  <si>
    <t>Ligado y vaciado  Industrial</t>
  </si>
  <si>
    <t>Aplicación (dos manos).</t>
  </si>
  <si>
    <t>Molde para col. E=0.30mt</t>
  </si>
  <si>
    <t>Excavación</t>
  </si>
  <si>
    <t>BRIGADAS DE TRABAJO</t>
  </si>
  <si>
    <t>BRIGADA DE APOYO BASICA:</t>
  </si>
  <si>
    <t>Capataz</t>
  </si>
  <si>
    <t>hr</t>
  </si>
  <si>
    <t>Peones (4 Hombres)</t>
  </si>
  <si>
    <t>TOTAL/DIA</t>
  </si>
  <si>
    <t>TOTAL/HR</t>
  </si>
  <si>
    <t>Rendimiento de excavación en Caliche.</t>
  </si>
  <si>
    <t xml:space="preserve">m3/dia </t>
  </si>
  <si>
    <t>TOTAL/M3.</t>
  </si>
  <si>
    <t>BRIGADA DE ENVARILLADO:</t>
  </si>
  <si>
    <t>Maestro de Varillas</t>
  </si>
  <si>
    <t>Varillero de 2da.</t>
  </si>
  <si>
    <t>Ayudantes de varllero</t>
  </si>
  <si>
    <t>ACERO</t>
  </si>
  <si>
    <t>REND./HORA</t>
  </si>
  <si>
    <t>UNIDAD</t>
  </si>
  <si>
    <t>PRECIO/UNIDAD</t>
  </si>
  <si>
    <t>Precio  pagado a Ajust.</t>
  </si>
  <si>
    <t>Acero en general</t>
  </si>
  <si>
    <t>maestro</t>
  </si>
  <si>
    <t>1era</t>
  </si>
  <si>
    <t>(Zapatas, Vigas de amarre y Columnas de amarre,etc.)</t>
  </si>
  <si>
    <t>de 2da</t>
  </si>
  <si>
    <t>Dinteles</t>
  </si>
  <si>
    <t>ayudante</t>
  </si>
  <si>
    <t>Parilla Zapata de Muros</t>
  </si>
  <si>
    <t>no calificado</t>
  </si>
  <si>
    <t>Acero malla</t>
  </si>
  <si>
    <t>un rollo deacero malla cubre 96 m2</t>
  </si>
  <si>
    <t>Envarillado de escalera (tramo de 2)</t>
  </si>
  <si>
    <t>Acero losa entrepisos</t>
  </si>
  <si>
    <t>Manejo de acero interno</t>
  </si>
  <si>
    <t>BRIGADA DE CARPINTERIA:</t>
  </si>
  <si>
    <t>Carpintero de 1ra.</t>
  </si>
  <si>
    <t>Carpintero de 2da.</t>
  </si>
  <si>
    <t>Ayudantes de Carpintero</t>
  </si>
  <si>
    <t>TOTAL/DIA:</t>
  </si>
  <si>
    <t>TOTAL/HR:</t>
  </si>
  <si>
    <t>ANDAMIOS CARLOS MARTE</t>
  </si>
  <si>
    <t>Andamios para vigas</t>
  </si>
  <si>
    <t>Andamios para columnas</t>
  </si>
  <si>
    <t>Andamios para muros</t>
  </si>
  <si>
    <t>Andamios exteriores</t>
  </si>
  <si>
    <t>Andamios interiores</t>
  </si>
  <si>
    <t>ANDAMIOS DOMINICANOS (ANDAMIOS METALICOS)</t>
  </si>
  <si>
    <t>Rendimiento brigada :</t>
  </si>
  <si>
    <t>vigas</t>
  </si>
  <si>
    <t>M2/HR</t>
  </si>
  <si>
    <t>muros</t>
  </si>
  <si>
    <t>losas</t>
  </si>
  <si>
    <t>columnas</t>
  </si>
  <si>
    <t>columnas circulares</t>
  </si>
  <si>
    <t>Rampas de Escalera</t>
  </si>
  <si>
    <t>COSTO-PT /ELEMENTO:</t>
  </si>
  <si>
    <t>ENCOF.</t>
  </si>
  <si>
    <t>DESENC.</t>
  </si>
  <si>
    <t>MANT.</t>
  </si>
  <si>
    <t>Rampas de escaleras</t>
  </si>
  <si>
    <t>BRIGADA DE TOPOGRAFIA:</t>
  </si>
  <si>
    <t>Analisis:</t>
  </si>
  <si>
    <t>mes</t>
  </si>
  <si>
    <t>PARTIDA</t>
  </si>
  <si>
    <t>CANT.</t>
  </si>
  <si>
    <t>PU/MES</t>
  </si>
  <si>
    <t>VALOR</t>
  </si>
  <si>
    <t>TOPOGRAFO</t>
  </si>
  <si>
    <t>NIVELADOR</t>
  </si>
  <si>
    <t>PORTAMIRA</t>
  </si>
  <si>
    <t>CADENERO</t>
  </si>
  <si>
    <t>PEONES</t>
  </si>
  <si>
    <t>MATERIALES</t>
  </si>
  <si>
    <t>TRANSP.(CHOF. Y VEH.)</t>
  </si>
  <si>
    <t>COSTO BRIGADA MENSUAL</t>
  </si>
  <si>
    <t>BRIGADA DE ALBAÑILERIA:</t>
  </si>
  <si>
    <t>`</t>
  </si>
  <si>
    <t>Dia</t>
  </si>
  <si>
    <t>Albañil de Primera</t>
  </si>
  <si>
    <t>Albañil de segunda</t>
  </si>
  <si>
    <t>Ayudantes de Albañil</t>
  </si>
  <si>
    <t>Peones</t>
  </si>
  <si>
    <t>TOTAL/HORA:</t>
  </si>
  <si>
    <t>INGENIERIA</t>
  </si>
  <si>
    <t>DIRECTOR DE PROYECTO (Incluyendo Dieta)</t>
  </si>
  <si>
    <t>INGENIEROS RESIDENTES (Incluyendo Dieta)</t>
  </si>
  <si>
    <t>ADMINISTRATIVO</t>
  </si>
  <si>
    <t>SECRETARIA</t>
  </si>
  <si>
    <t>CONSERJE</t>
  </si>
  <si>
    <t>CHOFER</t>
  </si>
  <si>
    <t>CAPATAZ</t>
  </si>
  <si>
    <t>COSTO INGENIERIA MENSUAL</t>
  </si>
  <si>
    <t>COSTO MANO DE OBRA ALBAÑILERIA:</t>
  </si>
  <si>
    <t>Acera Frotada (incl.Horm.)</t>
  </si>
  <si>
    <t>Aplicacion Marmolina frotada</t>
  </si>
  <si>
    <t>Badenes</t>
  </si>
  <si>
    <t xml:space="preserve">Violines </t>
  </si>
  <si>
    <t>Careteo</t>
  </si>
  <si>
    <t>Repello</t>
  </si>
  <si>
    <t>Ceramica Import. piso 30x30</t>
  </si>
  <si>
    <t>Colocacion de Marmol</t>
  </si>
  <si>
    <t>Ceramica Local 15a20 pared</t>
  </si>
  <si>
    <t>Ceramica Local 20&gt; piso</t>
  </si>
  <si>
    <t>Colocacion Bloques de 0.10</t>
  </si>
  <si>
    <t>Colocacion Bloques de 0.15</t>
  </si>
  <si>
    <t xml:space="preserve">Colocacion Bloques de 0.20 </t>
  </si>
  <si>
    <t xml:space="preserve">Colocacion de Tejas </t>
  </si>
  <si>
    <t>Confeccion lavadero pulido</t>
  </si>
  <si>
    <t>Confeccion Registro</t>
  </si>
  <si>
    <t>Confeccion Trampa de grasa</t>
  </si>
  <si>
    <t>Confeccion vertedero 60x60 HS</t>
  </si>
  <si>
    <t>Escalones Cemento Pulido</t>
  </si>
  <si>
    <t>Escalones de ladrillos</t>
  </si>
  <si>
    <t>Escalones Granito H.y Ch.</t>
  </si>
  <si>
    <t>Escalones Hormigon Frotado</t>
  </si>
  <si>
    <t>Escalones Revest.ladrillos</t>
  </si>
  <si>
    <t>Estrias 1"x1"</t>
  </si>
  <si>
    <t>Fino inclinado liso</t>
  </si>
  <si>
    <t>Fino techo plano</t>
  </si>
  <si>
    <t>Fino tipo Bermuda s/cantos</t>
  </si>
  <si>
    <t>Gotero Colgante</t>
  </si>
  <si>
    <t>Gotero de Ranura</t>
  </si>
  <si>
    <t>Ladrillo limpio pared</t>
  </si>
  <si>
    <t>Ladrillos Coloniales</t>
  </si>
  <si>
    <t>Losetas de ladrillo piso</t>
  </si>
  <si>
    <t>Marmol Ext. pared</t>
  </si>
  <si>
    <t>Marmol Ext. piso</t>
  </si>
  <si>
    <t>Marmol local pared</t>
  </si>
  <si>
    <t>Marmol  piso</t>
  </si>
  <si>
    <t>Marmolina frotada</t>
  </si>
  <si>
    <t>Montura accesorios baños</t>
  </si>
  <si>
    <t>Montura Escalones granito</t>
  </si>
  <si>
    <t>Mosaicos de cemento 20x20</t>
  </si>
  <si>
    <t>Mosaicos de ganito 30 x 30</t>
  </si>
  <si>
    <t>Mosaicos de gravilla 40 x 40</t>
  </si>
  <si>
    <t>Natilla en pared</t>
  </si>
  <si>
    <t>Pañete en muros-1er. nivel</t>
  </si>
  <si>
    <t>Pañete en muros-2do. nivel</t>
  </si>
  <si>
    <t>Pañete Frotado</t>
  </si>
  <si>
    <t>Pañete en Techos y Vigas</t>
  </si>
  <si>
    <t>Pañete Pulido a color</t>
  </si>
  <si>
    <t>Pañete pulido s/color</t>
  </si>
  <si>
    <t>Piso de Piedra Laja</t>
  </si>
  <si>
    <t>Piso fino frotado</t>
  </si>
  <si>
    <t>Piso fino pulido</t>
  </si>
  <si>
    <t>Piso Hormigon frotado 0.10</t>
  </si>
  <si>
    <t>Quicios</t>
  </si>
  <si>
    <t>Remetidos 2" x 2"</t>
  </si>
  <si>
    <t>Repello Maestreado muros</t>
  </si>
  <si>
    <t>Repello s/maestrear</t>
  </si>
  <si>
    <t>Resane en bloques</t>
  </si>
  <si>
    <t>Rustico con escoba o compresor</t>
  </si>
  <si>
    <t>Zabaletas de Techo</t>
  </si>
  <si>
    <t>Zocalos de Ceramica</t>
  </si>
  <si>
    <t>Zocalos de escalones granito</t>
  </si>
  <si>
    <t>Zocalos de Marmol</t>
  </si>
  <si>
    <t>Colocacion de Bloques calados</t>
  </si>
  <si>
    <t>Colocacion Piedra Coralina</t>
  </si>
  <si>
    <t>Colocacion Adoquines</t>
  </si>
  <si>
    <t>Confeccion de Molduras</t>
  </si>
  <si>
    <t>M O de Madera en Techos</t>
  </si>
  <si>
    <t>Colocacion de Laminas en Techos</t>
  </si>
  <si>
    <t>Colocacion de Placas de Neupreno</t>
  </si>
  <si>
    <t>Colocacion De Caballetes de Ceramica</t>
  </si>
  <si>
    <t>Colocacion De Listelo</t>
  </si>
  <si>
    <t>Colocacion de Ladrillos</t>
  </si>
  <si>
    <t>subida de bloques</t>
  </si>
  <si>
    <t>manejo de bloques interno</t>
  </si>
  <si>
    <t>Subida fda. De cemento</t>
  </si>
  <si>
    <t>fda/m2</t>
  </si>
  <si>
    <t>M D O ACERA</t>
  </si>
  <si>
    <t>BRIGADA SUBIDA MATERIALES</t>
  </si>
  <si>
    <t>horas</t>
  </si>
  <si>
    <t>peones</t>
  </si>
  <si>
    <t>Rendimiento en subida materiales 2do. Nivel</t>
  </si>
  <si>
    <t xml:space="preserve">Bloques de 20x20x40 </t>
  </si>
  <si>
    <t>Uds/dia</t>
  </si>
  <si>
    <t>RD$/uds</t>
  </si>
  <si>
    <t>Hormigon 1:3:5(140 a mano)</t>
  </si>
  <si>
    <t>m3/dia</t>
  </si>
  <si>
    <t>RD$/m3</t>
  </si>
  <si>
    <t>Mortero 1:3</t>
  </si>
  <si>
    <t>Acero 3/8 @ 0.80</t>
  </si>
  <si>
    <t>qq/dia</t>
  </si>
  <si>
    <t>RD$/qq</t>
  </si>
  <si>
    <t>Plywood</t>
  </si>
  <si>
    <t>planchas</t>
  </si>
  <si>
    <t>RD$/Plancha</t>
  </si>
  <si>
    <t>Madera</t>
  </si>
  <si>
    <t>RD$/p2</t>
  </si>
  <si>
    <t>Ceramica 20x20 piso</t>
  </si>
  <si>
    <t>RD$/m2</t>
  </si>
  <si>
    <t>Lechada Enco</t>
  </si>
  <si>
    <t>RD$/lbs</t>
  </si>
  <si>
    <t>Mortero Enco para pisos</t>
  </si>
  <si>
    <t>Zocalo de Ceramica</t>
  </si>
  <si>
    <t>RD$/ml</t>
  </si>
  <si>
    <t>ANALISIS ANDAMIOS DE OBRA:</t>
  </si>
  <si>
    <t>En Plafones:</t>
  </si>
  <si>
    <t>pch</t>
  </si>
  <si>
    <t>Brigada de apoyo</t>
  </si>
  <si>
    <t>Madera Bruta</t>
  </si>
  <si>
    <t>TOTAL/M2:</t>
  </si>
  <si>
    <t>En Muros Exteriores:</t>
  </si>
  <si>
    <t>Alquiler de Andamios Metalicos para pañete Ext.</t>
  </si>
  <si>
    <t>En Muros Interiores:</t>
  </si>
  <si>
    <t>Alquiler de Andamios Metalicos para pañete Int.</t>
  </si>
  <si>
    <t>En Muros Interiores en 2do.Nivel</t>
  </si>
  <si>
    <t>Subida Materiales</t>
  </si>
  <si>
    <t>EXCAVACION A MANO EN TIERRA</t>
  </si>
  <si>
    <t>M3N</t>
  </si>
  <si>
    <t>EXCAVACION A MANO EN CALICHE</t>
  </si>
  <si>
    <t>EXCAVACION A MANO EN ROCA</t>
  </si>
  <si>
    <t xml:space="preserve">BRIGADA DE APLICACION PINTURA </t>
  </si>
  <si>
    <t>Horas</t>
  </si>
  <si>
    <t>Maestro de pintura</t>
  </si>
  <si>
    <t>Ayudantes</t>
  </si>
  <si>
    <t>Rendimiento Diario Acrilica:m2(2 manos)</t>
  </si>
  <si>
    <t>tarifa 31/10/2013</t>
  </si>
  <si>
    <t>Rendimiento Diario Acrilica:m2(3 manos)</t>
  </si>
  <si>
    <t>Rendimiento Diario Aceite: m2(2 manos)</t>
  </si>
  <si>
    <t>Rendimiento Diario Epoxicas:m2(2 manos)</t>
  </si>
  <si>
    <t>Rendimiento Diario Sellador:m2(2 manos)</t>
  </si>
  <si>
    <t>Aplicacion sistema resistente a quimicos</t>
  </si>
  <si>
    <t>MEZCLADO Y VACIADO DE CONCRETO CON LIGADORA:</t>
  </si>
  <si>
    <t>Ligadora Mipsa 1 fda T.Costo</t>
  </si>
  <si>
    <t>Palas</t>
  </si>
  <si>
    <t>Carretillas</t>
  </si>
  <si>
    <t>Madera Puentes</t>
  </si>
  <si>
    <t>hrs</t>
  </si>
  <si>
    <t>Brigada basica</t>
  </si>
  <si>
    <t>Aguatero</t>
  </si>
  <si>
    <t>TOTAL GENERAL:</t>
  </si>
  <si>
    <t>TOTAL/M3:</t>
  </si>
  <si>
    <t>Aplicacion de Sellador de techos</t>
  </si>
  <si>
    <t xml:space="preserve">ANALISIS REPLANTEO </t>
  </si>
  <si>
    <t>Madera  (4 usos)</t>
  </si>
  <si>
    <t>Clavos de 2"</t>
  </si>
  <si>
    <t>Carpintero</t>
  </si>
  <si>
    <t>Brigada topografica</t>
  </si>
  <si>
    <t>Dias</t>
  </si>
  <si>
    <t>Obreros (2/dia)</t>
  </si>
  <si>
    <t>Hilo</t>
  </si>
  <si>
    <t>TOTAL/M2.:</t>
  </si>
  <si>
    <t>BRIGADA ERECCION SHELTER</t>
  </si>
  <si>
    <t>albañil de primera</t>
  </si>
  <si>
    <t>albañil de segunda</t>
  </si>
  <si>
    <t>ayudante de albañileria</t>
  </si>
  <si>
    <t>PU</t>
  </si>
  <si>
    <t>COSTO OPERACION DE PLANTA Y VACIADO</t>
  </si>
  <si>
    <t>Analisis Para 1 Dia</t>
  </si>
  <si>
    <t>Operador de Pala</t>
  </si>
  <si>
    <t>Hora</t>
  </si>
  <si>
    <t>Operador de Planta de Hormigon</t>
  </si>
  <si>
    <t>Ayudante de Planta</t>
  </si>
  <si>
    <t>Operador de bicicleta</t>
  </si>
  <si>
    <t>Vaciador de Termos</t>
  </si>
  <si>
    <t>Bombero</t>
  </si>
  <si>
    <t>Ayudante Bombero</t>
  </si>
  <si>
    <t>Chofer (Ligadora)</t>
  </si>
  <si>
    <t>COSTO TOTAL POR DIA</t>
  </si>
  <si>
    <t>COSTO TOTAL POR MES</t>
  </si>
  <si>
    <t>TIEMPO ESTIMADO PARA VACIADO</t>
  </si>
  <si>
    <t>Meses</t>
  </si>
  <si>
    <t>Insentivos:</t>
  </si>
  <si>
    <t xml:space="preserve">Viajes </t>
  </si>
  <si>
    <t>Uds</t>
  </si>
  <si>
    <t>Sub-Total Insentivos</t>
  </si>
  <si>
    <t>Combustibles y Lubricantes:</t>
  </si>
  <si>
    <t>Pala</t>
  </si>
  <si>
    <t>Gsl</t>
  </si>
  <si>
    <t>Camiones</t>
  </si>
  <si>
    <t>Planta Electrica</t>
  </si>
  <si>
    <t>Sub-Combustibles y Lubricantes:</t>
  </si>
  <si>
    <t>Total General Operacion y Vaciado</t>
  </si>
  <si>
    <t>VOLUMEN TOTAL ESTIMADO PARA EL PROYECTO</t>
  </si>
  <si>
    <t>COSTO POR M3</t>
  </si>
  <si>
    <t>ENCOFRADOS A TODO COSTO (CARLOS MARTE)</t>
  </si>
  <si>
    <t>PROMEDIO PARA TODOS LOS NIVELES</t>
  </si>
  <si>
    <t>Columnas cilindricas</t>
  </si>
  <si>
    <t>ML de Columnas</t>
  </si>
  <si>
    <t>Columnas 4 Tapas 0.40 x 0.70</t>
  </si>
  <si>
    <t>costo Andamios Columnas</t>
  </si>
  <si>
    <t>Columnas 4 Tapas 0.40 x 0.40</t>
  </si>
  <si>
    <r>
      <t xml:space="preserve">Columnas </t>
    </r>
    <r>
      <rPr>
        <sz val="12"/>
        <rFont val="Calibri"/>
        <family val="2"/>
      </rPr>
      <t>≤</t>
    </r>
    <r>
      <rPr>
        <sz val="11.5"/>
        <rFont val="Arial"/>
        <family val="2"/>
      </rPr>
      <t xml:space="preserve"> 0.30 de cara, por cara</t>
    </r>
  </si>
  <si>
    <t>2CARAS</t>
  </si>
  <si>
    <r>
      <t xml:space="preserve">Columnas </t>
    </r>
    <r>
      <rPr>
        <sz val="12"/>
        <rFont val="Calibri"/>
        <family val="2"/>
      </rPr>
      <t>≥</t>
    </r>
    <r>
      <rPr>
        <sz val="11.5"/>
        <rFont val="Arial"/>
        <family val="2"/>
      </rPr>
      <t xml:space="preserve"> 0.30 de cara, por cada .10 mts de ancho hasta 0.80. apartir de 0.80 se considera muro</t>
    </r>
  </si>
  <si>
    <t>Muros en columnas</t>
  </si>
  <si>
    <t>M2/cara</t>
  </si>
  <si>
    <t xml:space="preserve">Muros </t>
  </si>
  <si>
    <t xml:space="preserve">Vigas Cargas 0.20 X 0.40 </t>
  </si>
  <si>
    <t xml:space="preserve">Vigas Cargas 0.25 X 0.40 </t>
  </si>
  <si>
    <r>
      <t xml:space="preserve">Vigas Sobre Muros </t>
    </r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0.30</t>
    </r>
  </si>
  <si>
    <r>
      <t xml:space="preserve">Vigas Sobre Muros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0.30 </t>
    </r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0.50</t>
    </r>
  </si>
  <si>
    <t>Viga de Amarre Patinillo ( 0,15 x 0,32)</t>
  </si>
  <si>
    <r>
      <t xml:space="preserve">Viga de Amarre </t>
    </r>
    <r>
      <rPr>
        <sz val="12"/>
        <rFont val="Calibri"/>
        <family val="2"/>
      </rPr>
      <t>≤</t>
    </r>
    <r>
      <rPr>
        <sz val="11.5"/>
        <rFont val="Arial"/>
        <family val="2"/>
      </rPr>
      <t xml:space="preserve"> 0.30 MTS</t>
    </r>
  </si>
  <si>
    <t>Dintel 0.20*0.30</t>
  </si>
  <si>
    <r>
      <t xml:space="preserve">Losas Planas </t>
    </r>
    <r>
      <rPr>
        <sz val="12"/>
        <rFont val="Calibri"/>
        <family val="2"/>
      </rPr>
      <t>≤ 2.60 mts de altura</t>
    </r>
  </si>
  <si>
    <r>
      <t>Losas Planas hasta 3.00</t>
    </r>
    <r>
      <rPr>
        <sz val="12"/>
        <rFont val="Calibri"/>
        <family val="2"/>
      </rPr>
      <t xml:space="preserve"> mts de altura</t>
    </r>
  </si>
  <si>
    <r>
      <t xml:space="preserve">Losas Planas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3.00</t>
    </r>
    <r>
      <rPr>
        <sz val="12"/>
        <rFont val="Calibri"/>
        <family val="2"/>
      </rPr>
      <t xml:space="preserve"> mts de altura hasta 3.50 mts</t>
    </r>
  </si>
  <si>
    <r>
      <t xml:space="preserve">Losas Planas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3.50</t>
    </r>
    <r>
      <rPr>
        <sz val="12"/>
        <rFont val="Calibri"/>
        <family val="2"/>
      </rPr>
      <t xml:space="preserve"> mts de altura hasta 4.00 mts</t>
    </r>
  </si>
  <si>
    <t>Losas Inclinadas en 1 dirección hasta 3.00 mts de altura</t>
  </si>
  <si>
    <t>Losas Inclinadas en 2 direcciones hasta 3.00 mts de altura</t>
  </si>
  <si>
    <t>Vuelos Planos  ≤ 2.60 mts de altura</t>
  </si>
  <si>
    <t>Vuelos Planos  hasta 3.00 mts de altura</t>
  </si>
  <si>
    <t>Vuelos inclinados en 2 direcciones   hasta 3.00 mts de altura</t>
  </si>
  <si>
    <t>Escaleras ( 2 Rampas Ancho 1.40 mts)</t>
  </si>
  <si>
    <t>Viga Riostras</t>
  </si>
  <si>
    <t>Guarderas en zapatas</t>
  </si>
  <si>
    <t>Guarderas</t>
  </si>
  <si>
    <t>Guarderas en platea</t>
  </si>
  <si>
    <t>Unid.</t>
  </si>
  <si>
    <t xml:space="preserve">M2 </t>
  </si>
  <si>
    <t>analisis PGR</t>
  </si>
  <si>
    <t>CASETA MAT. 12'x16', P/200 F. CEMENTO:</t>
  </si>
  <si>
    <t>Area de caseta</t>
  </si>
  <si>
    <t>Parales pino bruto amer. (14 de 2"x4"x12')</t>
  </si>
  <si>
    <t>Durmientes pino bruto amer. (7 de 2"x4"x8')</t>
  </si>
  <si>
    <t>Cargaderas pino bruto amer. (5 de 2"x4"x14')</t>
  </si>
  <si>
    <t>Enlates pino bruto amer. (5 de 2"x4"x18')</t>
  </si>
  <si>
    <t>Puerta pino bruto amer. (4 de 1"x4"x8')</t>
  </si>
  <si>
    <t>Total pino bruto amer. (4 usos + 25% desp.)</t>
  </si>
  <si>
    <t>Plywood 4'x8'x¾", 2 caras, 6 usos (13 unid.)</t>
  </si>
  <si>
    <t>Puerta en Plywood 4'x8'x¾", 2 caras, 6 usos (1 unid.)</t>
  </si>
  <si>
    <t>Zinc acanalado 3'x7', cal. 26, 4 usos</t>
  </si>
  <si>
    <t>Clavos corrientes (5 lb. / 100 pie madera).</t>
  </si>
  <si>
    <t>Clavos de zinc + 5% desp. (.133 lb. / plancha)</t>
  </si>
  <si>
    <t>Bisagras 3 ½" x 3 ½"</t>
  </si>
  <si>
    <t>pares</t>
  </si>
  <si>
    <t>Pestillo</t>
  </si>
  <si>
    <t>Portacandado</t>
  </si>
  <si>
    <t>Candado</t>
  </si>
  <si>
    <t>Salida luces</t>
  </si>
  <si>
    <t>Salida interruptor sencillo</t>
  </si>
  <si>
    <t>Salida tomacorrientes 110 v.</t>
  </si>
  <si>
    <t>Replanteo y excavación 14 hoyos de .2x.2x.3 m.</t>
  </si>
  <si>
    <t>Carpintero 2da., montar y desmontar</t>
  </si>
  <si>
    <t>días</t>
  </si>
  <si>
    <t>Ayudante carpintero, montar y desmontar</t>
  </si>
  <si>
    <t>riel y cubre falta</t>
  </si>
  <si>
    <t>Puertas de Barrotes de Ø ¾ ¨ yMalla Hid Read 3/8"</t>
  </si>
  <si>
    <t>barrotes fijos</t>
  </si>
  <si>
    <t>m2=</t>
  </si>
  <si>
    <t>barrotes fijos y tola</t>
  </si>
  <si>
    <t>MALLA CICLONICA 6' con trinchera</t>
  </si>
  <si>
    <t>Horm. 1:2:4 en columnas de amarre (.15 x .20 x .80 m.)</t>
  </si>
  <si>
    <t>Descripción</t>
  </si>
  <si>
    <t xml:space="preserve">Cantidad </t>
  </si>
  <si>
    <t xml:space="preserve"> M2 </t>
  </si>
  <si>
    <t xml:space="preserve"> M3 </t>
  </si>
  <si>
    <t>Relleno compactado</t>
  </si>
  <si>
    <t/>
  </si>
  <si>
    <t>HORMIGON ARMADO EN :</t>
  </si>
  <si>
    <t>Ml</t>
  </si>
  <si>
    <t>TERMINACION DE SUPERFICIE:</t>
  </si>
  <si>
    <t>PINTURAS ( 2 MANOS) :</t>
  </si>
  <si>
    <t xml:space="preserve">SUB-TOTAL GENERAL </t>
  </si>
  <si>
    <t>Indirectos:</t>
  </si>
  <si>
    <t>Dirección Técnica (10%)</t>
  </si>
  <si>
    <t>Seguros y Fianzas (4.5%)</t>
  </si>
  <si>
    <t>Gastos Administrativo (3.0%)</t>
  </si>
  <si>
    <t>Imprevistos (5.0%)</t>
  </si>
  <si>
    <t>Codia (Decreto No. 319-88 d/f 25-Agosto-1988)(0.1%)</t>
  </si>
  <si>
    <t>Itebis de Honorarios, Norma 07-07 de la DGII (1.8%)</t>
  </si>
  <si>
    <t>Gasto de seguridad en obra 0.30%</t>
  </si>
  <si>
    <t xml:space="preserve">Fondo de pensiones y jubilaciones obreros de la construcción (1%),ley 6/86 </t>
  </si>
  <si>
    <t xml:space="preserve">TOTAL GENERAL </t>
  </si>
  <si>
    <t xml:space="preserve">NOTAS:  </t>
  </si>
  <si>
    <t xml:space="preserve">      1.-  LA   PARTIDA   IMPREVISTOS  SOLO  PODRA  SER  USADA  CON PREVIA  JUSTIFICACION Y SOLO CON  </t>
  </si>
  <si>
    <t>AUTORIZACION DEL  PROCURADOR  GENERAL DE LA REPUBLICA.</t>
  </si>
  <si>
    <t xml:space="preserve">      2-  LA PARTIDA DE SEGUROS Y FIANZAS, SERA PAGADA CONTRA FACTURAS.</t>
  </si>
  <si>
    <t xml:space="preserve">      3-  ESTE PRESUPUESTO SE ELABORO DE ACUERDO A PLANOS Y  LEVANTAMIENTOS REALIZADOS POR </t>
  </si>
  <si>
    <t>TECNICOS DEL DEPARTAMENTO  DE INGENIERIA Y ARQUITECTURA.</t>
  </si>
  <si>
    <t xml:space="preserve">       PREPARADO POR:</t>
  </si>
  <si>
    <t xml:space="preserve">  REVISADO POR:</t>
  </si>
  <si>
    <t>APROBADO POR:</t>
  </si>
  <si>
    <t>ARQ. WENDY FRIAS SEIJAS</t>
  </si>
  <si>
    <t>ENCARGADO DEPARTAMENTO DE INGENIERIA Y ARQUITECTURA</t>
  </si>
  <si>
    <t>C. U.                       RD$</t>
  </si>
  <si>
    <t>Valor                  RD$</t>
  </si>
  <si>
    <t>Sub - Total                   RD$</t>
  </si>
  <si>
    <t>ING. INDIRA VAZQUEZ</t>
  </si>
  <si>
    <t>ING. MARIA BATISTA</t>
  </si>
  <si>
    <t>Análisis: 1 m3.</t>
  </si>
  <si>
    <t>Acero grado 60</t>
  </si>
  <si>
    <t>Servicio de Vaciado</t>
  </si>
  <si>
    <t>Herramientas y Equipos</t>
  </si>
  <si>
    <t>total/m3</t>
  </si>
  <si>
    <t>MOVIMIENTO DE TIERRA:</t>
  </si>
  <si>
    <t xml:space="preserve">Relleno de reposición </t>
  </si>
  <si>
    <t xml:space="preserve">                                 PROCURADURIA GENERAL DE LA REPUBLICA</t>
  </si>
  <si>
    <t xml:space="preserve">                                        DEPARTAMENTO DE INGENIERIA Y ARQUITECTURA</t>
  </si>
  <si>
    <t>CAMPAMENTO</t>
  </si>
  <si>
    <t>ALQUILER FURGON OFICINA DE 20'</t>
  </si>
  <si>
    <t>MES</t>
  </si>
  <si>
    <t>ALQUILER FURGON CASETA DE MATERIALES DE 40 '</t>
  </si>
  <si>
    <t>ALQUILER FURGON CASETA DE MATERIALES DE 20 '</t>
  </si>
  <si>
    <t>ALQUILER BANO PORTATIL - 5 UD</t>
  </si>
  <si>
    <t>MESXUD</t>
  </si>
  <si>
    <t>COSTO TOTAL</t>
  </si>
  <si>
    <t>REPLANTEO - EQUIPO DE TOPOGRAFIA</t>
  </si>
  <si>
    <t>ESTACION TOTAL - 1 UD</t>
  </si>
  <si>
    <t>LIBRETAS, HILO, CAL</t>
  </si>
  <si>
    <t>TOPGRAFO - NIVELADOR - 1 UD</t>
  </si>
  <si>
    <t>PORTAPRISMA - 1 UD</t>
  </si>
  <si>
    <t>MURO DE BLOCKS DE 6" - 3/8" A 60 + SERP CADA 3 LINEAS</t>
  </si>
  <si>
    <t>M O R T E R O S</t>
  </si>
  <si>
    <t>bloques de 6"</t>
  </si>
  <si>
    <t>MORTERO 1:3, P/COLOCAR BLOQUES:</t>
  </si>
  <si>
    <t>mortero 1:3</t>
  </si>
  <si>
    <t>Arena gruesa lavada + 2% desp.</t>
  </si>
  <si>
    <t>Acero refuerzo 3/8 A 60cm</t>
  </si>
  <si>
    <t>Agua.</t>
  </si>
  <si>
    <t>hormigon en camaras</t>
  </si>
  <si>
    <t>Cemento gris.</t>
  </si>
  <si>
    <t>ANDAMIOS</t>
  </si>
  <si>
    <t>Mano de obra mezclado (un peón).</t>
  </si>
  <si>
    <t>día</t>
  </si>
  <si>
    <t>corte y amarre de varilla</t>
  </si>
  <si>
    <t>colocacion bloques</t>
  </si>
  <si>
    <t>MEZCLA DE EMPAÑETE:</t>
  </si>
  <si>
    <t>Arena fina + 2% desp.</t>
  </si>
  <si>
    <t>COSTO/M3</t>
  </si>
  <si>
    <t>Cal hidratada (50 lbs.).</t>
  </si>
  <si>
    <t>MURO DE BLOCKS DE 4"</t>
  </si>
  <si>
    <t>MORTERO 1:4 PARA EMPAÑETE:</t>
  </si>
  <si>
    <t>bloques de 4"</t>
  </si>
  <si>
    <t>Mezcla de empañete + 3% desp.</t>
  </si>
  <si>
    <t>Acero refuerzo 3/8 A 80cm</t>
  </si>
  <si>
    <t>MORTERO 1:2 IMPERMEABLE P/PULIDO:</t>
  </si>
  <si>
    <t>FRAGUACHE</t>
  </si>
  <si>
    <t>Mortero 1:3 Cemento y Arena Gruesa</t>
  </si>
  <si>
    <t>MEZCLA CAL Y ARENA, P/MORTERO COLOC. PISO:</t>
  </si>
  <si>
    <t>MO Fraguache con Escoba</t>
  </si>
  <si>
    <t>Herramientas Menores</t>
  </si>
  <si>
    <t>MORTERO 1:10, COLOCAR PISOS:</t>
  </si>
  <si>
    <t>PANETE GENERAL</t>
  </si>
  <si>
    <t>Mezcla cal y arena para pisos + 20% desp.</t>
  </si>
  <si>
    <t>Mortero 1:4 p/empañete + 30% desp., 2 cm. esp.</t>
  </si>
  <si>
    <t>Regla (1 de 1"x4"x10' / 100 usos).</t>
  </si>
  <si>
    <t>Andamios Internos</t>
  </si>
  <si>
    <t>Conf. andamios.</t>
  </si>
  <si>
    <t>Mano de obra.</t>
  </si>
  <si>
    <t>CANTOS</t>
  </si>
  <si>
    <t>Mortero 1:4 p/empañete + 30% desp.</t>
  </si>
  <si>
    <t>Reglas (2 de 1"x4"x3.28' / 10 usos).</t>
  </si>
  <si>
    <t>FINO DE TECHO</t>
  </si>
  <si>
    <t>hormigon industrial 180 kg/cm2 6 CM + 5% DESP</t>
  </si>
  <si>
    <t>ZABALETA</t>
  </si>
  <si>
    <t>MORTERO PULIDO PARA FINO</t>
  </si>
  <si>
    <t>MURO DE BLOCKS DE 6" - 3/8" A 60 BNP</t>
  </si>
  <si>
    <t>VIOLINADO DE 15 CM</t>
  </si>
  <si>
    <t>bloques de 8"</t>
  </si>
  <si>
    <t>MURO DE BLOCKS DE 8" - 3/8" A 60 SNP</t>
  </si>
  <si>
    <t>MURO DE BLOCKS DE 8" TEXTURIZADOS AGUAYO</t>
  </si>
  <si>
    <t>bloques TEXTURIZADOS</t>
  </si>
  <si>
    <t>MURO VIOLINADO</t>
  </si>
  <si>
    <t>bloques DE 8"</t>
  </si>
  <si>
    <t>LIMPIEZA CONTINUA Y FINAL</t>
  </si>
  <si>
    <t>Botes de escombros - 16 viajes al mes</t>
  </si>
  <si>
    <t>viajes de 6 m3</t>
  </si>
  <si>
    <t>Acarreo de Escombros con Equipo</t>
  </si>
  <si>
    <t>Limpieza Final Edificaciones</t>
  </si>
  <si>
    <t>HORMIGON DE NIVELACION de 0.05</t>
  </si>
  <si>
    <t>Hormigón  140 Kg/cm2</t>
  </si>
  <si>
    <t xml:space="preserve">Mano de Obra Vaciado </t>
  </si>
  <si>
    <t>alojamiento</t>
  </si>
  <si>
    <t>HORMIGON 210</t>
  </si>
  <si>
    <t>Mano Obra Acero</t>
  </si>
  <si>
    <t>ZAPATA Z4</t>
  </si>
  <si>
    <t>ZAPATA escalera</t>
  </si>
  <si>
    <t>zapata muro de bloques de 6"</t>
  </si>
  <si>
    <t>HORMIGON 280</t>
  </si>
  <si>
    <t>Clavos Corrientes</t>
  </si>
  <si>
    <t>Clavos de Acero</t>
  </si>
  <si>
    <t>Encofrado y Desencodrado a TC</t>
  </si>
  <si>
    <t>Encofrado y Desencodrado a TC HASTA 3 M</t>
  </si>
  <si>
    <t>COSTO/ML</t>
  </si>
  <si>
    <t>Encofrado madera a todo costo</t>
  </si>
  <si>
    <t>hasta 3 mt de altura</t>
  </si>
  <si>
    <t>TORTA DE HORMIGON CON FIBRA</t>
  </si>
  <si>
    <t>HORMIGON 180</t>
  </si>
  <si>
    <t>FIBRA</t>
  </si>
  <si>
    <t>PISO DE CEMENTO PULIDO, ESP 0.05 CON HELICOPTERO</t>
  </si>
  <si>
    <t>MANO DE OBRA FROTADO</t>
  </si>
  <si>
    <t>HORMIGON 180 + 5% DESP</t>
  </si>
  <si>
    <t>BONDING AGENT</t>
  </si>
  <si>
    <t>GL</t>
  </si>
  <si>
    <t xml:space="preserve">MANO DE OBRA PULIDO CON HELICOPTERO </t>
  </si>
  <si>
    <t>PINTURA ECONOMICA</t>
  </si>
  <si>
    <t>PINTURA ACRILICA SUP</t>
  </si>
  <si>
    <t>BASE</t>
  </si>
  <si>
    <t>Pintura Acrilica - Colores Carta Base</t>
  </si>
  <si>
    <t>PINTURA SEMIGLOS</t>
  </si>
  <si>
    <t>PINTURA EPOXICA</t>
  </si>
  <si>
    <t>Pintura SEMIGLOS</t>
  </si>
  <si>
    <t>Pintura EPOXICA</t>
  </si>
  <si>
    <t>RAMPA DE HORMIGON ESTRIADO</t>
  </si>
  <si>
    <t>LOSAS PLANAS 0.15M.</t>
  </si>
  <si>
    <t>MANO DE OBRA RAYADO</t>
  </si>
  <si>
    <t>CARPETA DE HORMIGON HIDRAULICO CON FIBRAS E=14 CM</t>
  </si>
  <si>
    <t>MANO DE OBRA PULIDO CON HELICOPTERO</t>
  </si>
  <si>
    <t>PISO DE HORMIGON FROTADO DE 10 CM</t>
  </si>
  <si>
    <t>MALLA ELECT</t>
  </si>
  <si>
    <t>COLOCACION MALLA</t>
  </si>
  <si>
    <t>TORTA DE HORMIGON CON BARRERA DE VAPOR</t>
  </si>
  <si>
    <t>REFLEXION</t>
  </si>
  <si>
    <t>BARRERA DE VAPOR</t>
  </si>
  <si>
    <t xml:space="preserve">MALLA ELECT </t>
  </si>
  <si>
    <t>MDO MALLA ELEC</t>
  </si>
  <si>
    <t>BANCO DE HORMIGON</t>
  </si>
  <si>
    <t>LOSA DE HORMIGON DE 0.08</t>
  </si>
  <si>
    <t>FROTADO LOSA</t>
  </si>
  <si>
    <t>MURO DE BLOCKS DE 6"</t>
  </si>
  <si>
    <t>PANETE MURO</t>
  </si>
  <si>
    <t>CANTOS MUROS</t>
  </si>
  <si>
    <t>ZAPATA ZC1</t>
  </si>
  <si>
    <t>ZAPATA ZC2</t>
  </si>
  <si>
    <t>LOCALIZACION : ANAMUYA, HIGUEY.</t>
  </si>
  <si>
    <t>1ER NIVEL</t>
  </si>
  <si>
    <t>PRELIMINARES:</t>
  </si>
  <si>
    <t>Replanteo, incluye brigada topográfica</t>
  </si>
  <si>
    <t>Fumigación área de Construcción</t>
  </si>
  <si>
    <t xml:space="preserve">Excavación de Fundaciones  </t>
  </si>
  <si>
    <t xml:space="preserve">Bote producto de corte de capa vegetal, excavación </t>
  </si>
  <si>
    <t xml:space="preserve">M3 </t>
  </si>
  <si>
    <t xml:space="preserve">Dintel D1 (15x40), Hormigón 210 kg/cm2  industrial </t>
  </si>
  <si>
    <t xml:space="preserve">Dintel D2 (15x40), Hormigón 210 kg/cm2  industrial </t>
  </si>
  <si>
    <t>MUROS DE :</t>
  </si>
  <si>
    <t>Pañete liso interior sobre muro</t>
  </si>
  <si>
    <t>Pañete liso exterior sobre muro</t>
  </si>
  <si>
    <t>Pañete sobre superficie de hormigón</t>
  </si>
  <si>
    <t xml:space="preserve">Ml </t>
  </si>
  <si>
    <t>TERMINACION DE PISOS :</t>
  </si>
  <si>
    <t>REVESTIMIENTO EN PARED :</t>
  </si>
  <si>
    <t>PROTECCION DE HIERROS EN PUERTAS Y VENTANAS:</t>
  </si>
  <si>
    <t>PUERTAS :</t>
  </si>
  <si>
    <t>VENTANAS :</t>
  </si>
  <si>
    <t xml:space="preserve">P2 </t>
  </si>
  <si>
    <t>Acrílica económica como base</t>
  </si>
  <si>
    <t>Semigloss superior en muros interiores</t>
  </si>
  <si>
    <t>Acrílica superior en muros exteriores</t>
  </si>
  <si>
    <t>Mantenimiento en hierro</t>
  </si>
  <si>
    <t>VARIOS :</t>
  </si>
  <si>
    <t>Desencofrado</t>
  </si>
  <si>
    <t>Losa / Desencofrado  e=0.12</t>
  </si>
  <si>
    <t>Chapapote e=0.08mt</t>
  </si>
  <si>
    <t>Hormigón 180 kg/cm2 industrial</t>
  </si>
  <si>
    <t>Mochetas</t>
  </si>
  <si>
    <t>Acrílica superior en techo</t>
  </si>
  <si>
    <t xml:space="preserve">Rampa de escalera (H= 0.15mt), Hormigón 210 kg/cm2  industrial </t>
  </si>
  <si>
    <t>TERMINACION DE ESCALERA :</t>
  </si>
  <si>
    <t>Descanso de granito fondo blanco</t>
  </si>
  <si>
    <t>MI</t>
  </si>
  <si>
    <t>2DO NIVEL</t>
  </si>
  <si>
    <t>Pañete liso exterior sobre muro, incluye antepecho</t>
  </si>
  <si>
    <t>Cantos, incluye antepecho</t>
  </si>
  <si>
    <t>PROTECCION DE HIERROS EN VENTANAS:</t>
  </si>
  <si>
    <t xml:space="preserve">Acrílica económica como base </t>
  </si>
  <si>
    <t>Tope de granito natural chino en cuarto control</t>
  </si>
  <si>
    <t>INSTALACIONES SANITARIAS:</t>
  </si>
  <si>
    <t>1er Nivel</t>
  </si>
  <si>
    <t xml:space="preserve">ML </t>
  </si>
  <si>
    <t>2do Nivel</t>
  </si>
  <si>
    <t xml:space="preserve">und </t>
  </si>
  <si>
    <t>Encofrado de Escalera 2 rampas</t>
  </si>
  <si>
    <t xml:space="preserve">Zapata ZC2 de MHA1 E=0.50m, Hormigón 210 kg/cm2 industrial </t>
  </si>
  <si>
    <t xml:space="preserve">Columna CA (20X30) Hormigón 210 kg/cm2  industrial </t>
  </si>
  <si>
    <t xml:space="preserve">Columna CA (20X20) Hormigón 210 kg/cm2  industrial </t>
  </si>
  <si>
    <t xml:space="preserve">Columna CA (30X15) Hormigón 210 kg/cm2  industrial </t>
  </si>
  <si>
    <t xml:space="preserve">Columna C1 (40X40) Hormigón 210 kg/cm2  industrial </t>
  </si>
  <si>
    <t xml:space="preserve">Zapata escalera E=0.35m, Hormigón 210 kg/cm2  industrial </t>
  </si>
  <si>
    <t xml:space="preserve">Viga V2 (30x30), Hormigón 210 kg/cm2  industrial </t>
  </si>
  <si>
    <t xml:space="preserve">Viga V3 (30x38), Hormigón 210 kg/cm2  industrial </t>
  </si>
  <si>
    <t xml:space="preserve">Viga V6 (30x40), Hormigón 210 kg/cm2  industrial </t>
  </si>
  <si>
    <t xml:space="preserve">Viga V7 (30x40), Hormigón 210 kg/cm2  industrial </t>
  </si>
  <si>
    <t xml:space="preserve">Viga V8 (30x35), Hormigón 210 kg/cm2  industrial </t>
  </si>
  <si>
    <t xml:space="preserve">Viga V9 (30x40), Hormigón 210 kg/cm2  industrial </t>
  </si>
  <si>
    <t xml:space="preserve">Viga V10 (30x40), Hormigón 210 kg/cm2  industrial </t>
  </si>
  <si>
    <t xml:space="preserve">Viga de amarre de muros (20x30), Hormigón 210 kg/cm2  industrial </t>
  </si>
  <si>
    <t xml:space="preserve">Viga de amarre de muros (15x30), Hormigón 210 kg/cm2  industrial </t>
  </si>
  <si>
    <t xml:space="preserve">Dintel D2 (20x40), Hormigón 210 kg/cm2  industrial </t>
  </si>
  <si>
    <t xml:space="preserve">Dintel D1 (20x40), Hormigón 210 kg/cm2  industrial </t>
  </si>
  <si>
    <t>Viga amarre bajo nivel de piso (20x20), Hormigón 210 kg/cm2  a mano</t>
  </si>
  <si>
    <t>Viga de escalera (20x35), Hormigón 210 kg/cm2 industrial</t>
  </si>
  <si>
    <t>Losa maciza, Hormigón 210 kg/cm2  industrial e= 0.12mt</t>
  </si>
  <si>
    <t>Losa maciza, Hormigón 210 kg/cm2  industrial e= 0.15mt</t>
  </si>
  <si>
    <t>Louvers en ventanas</t>
  </si>
  <si>
    <t>Escalones de entrada</t>
  </si>
  <si>
    <t>RAMPA DE ACCESO ENTRADA:</t>
  </si>
  <si>
    <t xml:space="preserve">Zapata de muros de bloques de 6'' </t>
  </si>
  <si>
    <t>Muros de bloques 6''</t>
  </si>
  <si>
    <t>Pañete en bordillos</t>
  </si>
  <si>
    <t>Pintura señalización en rampa para discapacitados</t>
  </si>
  <si>
    <t>Baranda en perfiles de aluminio en rampa de entrada</t>
  </si>
  <si>
    <t>Colocación de Poliuretano de 1" en juntas de expansión y de HA</t>
  </si>
  <si>
    <t xml:space="preserve">Muro HA MH1, e=0.30mt , Hormigón 210 kg/cm2  industrial </t>
  </si>
  <si>
    <t>Losa Aligerada, Hormigón 210 kg/cm2  industrial e= 0.20mt, con malla electrosolada D2.5x2.5x100x100</t>
  </si>
  <si>
    <t>Dintel D1 0.20x 0.40 Hormigón 210kg/cm2</t>
  </si>
  <si>
    <t>Dintel D1 0.15x 0.40 Hormigón 210kg/cm2</t>
  </si>
  <si>
    <t>Dintel D2 0.20 x 0.40 Hormigón 210kg/cm2</t>
  </si>
  <si>
    <t xml:space="preserve">TECHO </t>
  </si>
  <si>
    <t>VIGA RIOSTRA</t>
  </si>
  <si>
    <t xml:space="preserve">Adicionales </t>
  </si>
  <si>
    <t xml:space="preserve">Hormigón de Nivelación 140 kg/cm2 , e=0.05 mt  </t>
  </si>
  <si>
    <t xml:space="preserve">Columna C2 (40X40) Hormigón 210 kg/cm2  industrial </t>
  </si>
  <si>
    <t>Blocks calados según diseño</t>
  </si>
  <si>
    <t>3ER NIVEL</t>
  </si>
  <si>
    <t>4TO NIVEL Y TECHO</t>
  </si>
  <si>
    <t>Bloques en vertederos</t>
  </si>
  <si>
    <t>TERMINACIÓN DE TECHO :</t>
  </si>
  <si>
    <t>Fino de mezcla en Techo Plano</t>
  </si>
  <si>
    <t>Zabaleta en Techo</t>
  </si>
  <si>
    <t>Impermeabilizante, Lona Asfáltica Granulada en poliester 4 kilo, 2.8 mm, incluye Primer. Siete años de garantía.</t>
  </si>
  <si>
    <t xml:space="preserve">Blocks en Antepecho </t>
  </si>
  <si>
    <t>Blocks en Antepecho Acceso a Edif.</t>
  </si>
  <si>
    <t>TERMINACIÓN DE TECHO ACCESO A EDIF. :</t>
  </si>
  <si>
    <t>ZAPATA MUROS SECCION 1-1</t>
  </si>
  <si>
    <t>ZAPATA MURO SECCION 2-2</t>
  </si>
  <si>
    <t>ZAPATA MURO SECCION 3-3</t>
  </si>
  <si>
    <t>CA 20X30 1ER NIVEL</t>
  </si>
  <si>
    <t>CA 20 X20 1ER NIVEL</t>
  </si>
  <si>
    <t>CA 30 X 15 1ER NIVEL</t>
  </si>
  <si>
    <t>Denglass en área de duchas</t>
  </si>
  <si>
    <t>Viga amarre bajo nivel de piso (15x20), Hormigón 210 kg/cm2  a mano</t>
  </si>
  <si>
    <t>Bloques de 8" SNPØ 3/8@ 0.60</t>
  </si>
  <si>
    <t>MURO DE BLOCKS DE 8" - 3/8" A 60 SNP 2 SERPENTINA CADA 0.60</t>
  </si>
  <si>
    <t>VIGA V1 20 X 35 1ER N</t>
  </si>
  <si>
    <t xml:space="preserve">VIGA V4 30 X 40 1ER </t>
  </si>
  <si>
    <t>VIGA V5 30 X 40 1ER N</t>
  </si>
  <si>
    <t>C1 40 X 40 1ER N</t>
  </si>
  <si>
    <t>M1 HA 1ER N</t>
  </si>
  <si>
    <t xml:space="preserve">Vuelo a=1.40mt  e=0.15m, Hormigón 210 kg/cm2  industrial </t>
  </si>
  <si>
    <t>Bancos de hormigón</t>
  </si>
  <si>
    <t>Malla ciclónica</t>
  </si>
  <si>
    <t>Zabaleta en área de duchas discapacitados</t>
  </si>
  <si>
    <t>Zócalo de escalones de granito fondo blanco</t>
  </si>
  <si>
    <t>Tope de granito natural chino (2UDS)</t>
  </si>
  <si>
    <t>LOSAS PLANAS 0.15M. 1ER N</t>
  </si>
  <si>
    <t>LOSAS PLANAS 0.12M. 1ER N</t>
  </si>
  <si>
    <t>LOSA ALIGERADA e=0.20m 1ER N</t>
  </si>
  <si>
    <t>VUELO DE 1.40m 1ER N</t>
  </si>
  <si>
    <t>LOSA ALIGERADA e=0.20m 2DO N</t>
  </si>
  <si>
    <t>LOSA ALIGERADA e=0.20m 3ER N</t>
  </si>
  <si>
    <t>ANALISIS RAMPAS DE ESCALERAS 1er nivel</t>
  </si>
  <si>
    <t>Hormigon 210 Kg/cm2</t>
  </si>
  <si>
    <t>ZAPATA DE MUROS DE 6 EN RAMPA</t>
  </si>
  <si>
    <t>MURO DE BLOCKS DE 8" - 3/8" A 40 BNP</t>
  </si>
  <si>
    <t>Techo en hierro 3/4¨ @0.13m</t>
  </si>
  <si>
    <t>Cerámica en baño de control color blanco mate 20x30cm</t>
  </si>
  <si>
    <t>MURO DE BLOCKS DE 6" - 3/8" A 60 SNP</t>
  </si>
  <si>
    <t>Toping</t>
  </si>
  <si>
    <t>Malla electrosoldada D2.5 D2.5, 100*100</t>
  </si>
  <si>
    <t>Mano de obra de malla Electrosoldada</t>
  </si>
  <si>
    <t>Mano de obra adicionales</t>
  </si>
  <si>
    <t>Nervios</t>
  </si>
  <si>
    <t>Acero de 3/8"@ 0.50</t>
  </si>
  <si>
    <t>Macizos</t>
  </si>
  <si>
    <t>Acero de 8 de 3/8"</t>
  </si>
  <si>
    <t>Acero de 1/2"@ 0.50</t>
  </si>
  <si>
    <t>Bovedillas 25 %</t>
  </si>
  <si>
    <t>Uso de bomba</t>
  </si>
  <si>
    <t>TOTAL/M3</t>
  </si>
  <si>
    <t>TOTAL/M2</t>
  </si>
  <si>
    <t xml:space="preserve">AREA TOPING </t>
  </si>
  <si>
    <r>
      <t>VOLUMEN TOPING Y NERVIOS</t>
    </r>
    <r>
      <rPr>
        <b/>
        <sz val="8"/>
        <rFont val="Calibri"/>
        <family val="2"/>
      </rPr>
      <t>(INCLUYE MACIZOS)</t>
    </r>
  </si>
  <si>
    <t xml:space="preserve">Hormigón 210 kg/cm2 (0.15X0.30) </t>
  </si>
  <si>
    <t>Hormigón 210 kg/cm2, toping de 0.05 mts +5% desp</t>
  </si>
  <si>
    <t xml:space="preserve">Hormigón 210 kg/cm2 (0.15X0.15) </t>
  </si>
  <si>
    <t>Acero 2 de 1/2"</t>
  </si>
  <si>
    <t>Piso cerámica blanco .30x.30 en cuarto control</t>
  </si>
  <si>
    <t>Piso cerámica blanca .30x.30</t>
  </si>
  <si>
    <t>Zócalo de cerámica en cuarto control</t>
  </si>
  <si>
    <t xml:space="preserve">Vuelo a=0.40mt en acceso a Edificio, Hormigón 210 kg/cm2  industrial </t>
  </si>
  <si>
    <t>Alambre #18</t>
  </si>
  <si>
    <t>Molde para col. 0.40 x 0.40</t>
  </si>
  <si>
    <t>Molde para col. 0.20x0.20</t>
  </si>
  <si>
    <t>CA 20 X20 2DONIVEL</t>
  </si>
  <si>
    <t>CA 20 X20 3ER NIVEL</t>
  </si>
  <si>
    <t>CA 20 X20 4TO  NIVEL</t>
  </si>
  <si>
    <t>CA 20X30 2DO NIVEL</t>
  </si>
  <si>
    <t>CA 20X30 3ER NIVEL</t>
  </si>
  <si>
    <t>CA 20X30 4TO NIVEL</t>
  </si>
  <si>
    <t>M1 HA 2DO N</t>
  </si>
  <si>
    <t>M1 HA 3ER N</t>
  </si>
  <si>
    <t>M1 HA 4TO N</t>
  </si>
  <si>
    <t>CA 30 X 15 2DO NIVEL</t>
  </si>
  <si>
    <t>CA 30 X 15 3ER NIVEL</t>
  </si>
  <si>
    <t>CA 30 X 15 4TONIVEL</t>
  </si>
  <si>
    <t>C1 40 X 40 2DO N</t>
  </si>
  <si>
    <t>C1 40 X 40 3ERN</t>
  </si>
  <si>
    <t>C2 40 X 40 3ERN</t>
  </si>
  <si>
    <t>C2 40 X 40 2DO N</t>
  </si>
  <si>
    <t>VIGA V2 20 X 30 2DO N</t>
  </si>
  <si>
    <t>VIGA V2 20 X 30 3ER N</t>
  </si>
  <si>
    <t>VIGA V3 20 X 38 1ER N</t>
  </si>
  <si>
    <t>VIGA V3 20 X 38 3ER N</t>
  </si>
  <si>
    <t>VIGA V6 30 X 40 2DO N</t>
  </si>
  <si>
    <t>VIGA V6 30 X 40 3ER N</t>
  </si>
  <si>
    <t>VIGA V6 30 X 40 4TO N</t>
  </si>
  <si>
    <t>VIGA V7 30 X 40  1ER N</t>
  </si>
  <si>
    <t>VIGA V7 30 X 40  2DO N</t>
  </si>
  <si>
    <t>VIGA V7 30 X 40  3ER N</t>
  </si>
  <si>
    <t>VIGA V7 30 X 40  4TO N</t>
  </si>
  <si>
    <t xml:space="preserve">VIGA V8 20 X 35   2DO N </t>
  </si>
  <si>
    <t>VIGA V8 20 X 35  3ER N</t>
  </si>
  <si>
    <t>VIGA DE AMARRE MUROS 30 X 20 1ER N</t>
  </si>
  <si>
    <t>VIGA DE AMARRE MUROS 30 X 20 2DO N</t>
  </si>
  <si>
    <t>VIGA DE AMARRE MUROS 30 X 20 3ER N</t>
  </si>
  <si>
    <t>VIGA DE AMARRE MUROS 30 X 20 4TO N</t>
  </si>
  <si>
    <t>VIGA DE AMARRE MUROS 30 X 15 3ER</t>
  </si>
  <si>
    <t>VIGA DE AMARRE MUROS 30 X 15 1ER</t>
  </si>
  <si>
    <t>VIGA DE AMARRE MUROS 30 X 15 2DO N</t>
  </si>
  <si>
    <t>VIGA DE AMARRE MUROS 30 X 15 4TO N</t>
  </si>
  <si>
    <t>DINTEL D1 20 X40 1ER N</t>
  </si>
  <si>
    <t>DINTEL D1 20 X40 2DO N</t>
  </si>
  <si>
    <t>DINTEL D1 20 X40 3ER N</t>
  </si>
  <si>
    <t xml:space="preserve">DINTEL D1 15 X40 1ER </t>
  </si>
  <si>
    <t>DINTEL D1 15 X40 2DO N</t>
  </si>
  <si>
    <t>DINTEL D1 15 X40 3ER N</t>
  </si>
  <si>
    <t xml:space="preserve">DINTEL D2 20 X40 1ER </t>
  </si>
  <si>
    <t>DINTEL D2 20 X40 2DO N</t>
  </si>
  <si>
    <t>DINTEL D2 20 X40 3ER N</t>
  </si>
  <si>
    <t>DINTEL D2 15 X40 1ER N</t>
  </si>
  <si>
    <t>DINTEL D2 15 X40 2DO N</t>
  </si>
  <si>
    <t>DINTEL D2 15 X40 3ER N</t>
  </si>
  <si>
    <t>VIGA DE ESCALERA 20 X 35 1ER N</t>
  </si>
  <si>
    <t>VIGA DE ESCALERA 20 X 35 2DO N</t>
  </si>
  <si>
    <t>VIGA DE ESCALERA 20 X 35 3ER N</t>
  </si>
  <si>
    <t>VIGA V9 40 X 30   3ER N</t>
  </si>
  <si>
    <t>VIGA V9 40 X 30   2DO N</t>
  </si>
  <si>
    <t>VIGA V10 40 X 30   2DO N</t>
  </si>
  <si>
    <t>VIGA V10 40 X 30   3ER N</t>
  </si>
  <si>
    <t>VUELO DE 1.40m 3ER N</t>
  </si>
  <si>
    <t>LOSAS PLANAS 0.12M.  3ER N</t>
  </si>
  <si>
    <t>LOSAS PLANAS 0.12M. 2DO  N</t>
  </si>
  <si>
    <t>LOSAS PLANAS 0.15M. 2DO N</t>
  </si>
  <si>
    <t>LOSAS PLANAS 0.15M. 3ER N</t>
  </si>
  <si>
    <t>Losa / Desencofrado  e=0.15</t>
  </si>
  <si>
    <t>VUELO DE 0.40m 1ER N e=0.12M</t>
  </si>
  <si>
    <t>VUELO DE 1.40m 2DO N E=0.15M</t>
  </si>
  <si>
    <t>VUELO DE 0.90 1ER N E=0.12M</t>
  </si>
  <si>
    <t>Molde para viga de 0.40x0.20</t>
  </si>
  <si>
    <t>DINTEL D1 20 X40 4TO N</t>
  </si>
  <si>
    <t>Molde para viga de 0.40x0.15</t>
  </si>
  <si>
    <t>DINTEL D1 15 X40 4TO N</t>
  </si>
  <si>
    <t>DINTEL D2 20 X40 4TO N</t>
  </si>
  <si>
    <t>Molde para viga de 0.30x0.20</t>
  </si>
  <si>
    <t>Molde para viga de 0.30x0.15</t>
  </si>
  <si>
    <t>Molde para viga de 0.35 X 0.20</t>
  </si>
  <si>
    <t>Molde para viga de 0.38 X 0.20</t>
  </si>
  <si>
    <t>VIGA V3 20 X 38 2DO N</t>
  </si>
  <si>
    <t>Molde para viga de 0.30 X 0.20</t>
  </si>
  <si>
    <t>VIGA V2 20 X 30 1ER N</t>
  </si>
  <si>
    <t>Molde para viga de 0.30 X 0.40</t>
  </si>
  <si>
    <t>VIGA V6 30 X 40 1ER, N</t>
  </si>
  <si>
    <t>Molde para viga de 0.35 X 0.40</t>
  </si>
  <si>
    <t>Bloques de 8" BNP Ø 3/8@ 0.60 todas las cámaras llenas</t>
  </si>
  <si>
    <t>Pañete exterior sobre muros</t>
  </si>
  <si>
    <t xml:space="preserve">Pintura exterior </t>
  </si>
  <si>
    <t>Zabaleta en techos</t>
  </si>
  <si>
    <t>Careteo en superficie de hormigón</t>
  </si>
  <si>
    <t>Viga amarre bnp piso  20 x20</t>
  </si>
  <si>
    <t>Viga amarre piso bnp 15 x 20</t>
  </si>
  <si>
    <t xml:space="preserve">ANALISIS RAMPAS DE ESCALERAS 3do </t>
  </si>
  <si>
    <t>ANALISIS RAMPAS DE ESCALERAS 2er n</t>
  </si>
  <si>
    <t>Bloques de 8" BNP Ø 3/8 @ 0.60 con serpentina cada 3 bloques, todas las cámaras llenas</t>
  </si>
  <si>
    <t>Bloques de 6" BNP Ø 3/8 @ 0.60 con serpentina cada 3 bloques, todas las cámaras llenas</t>
  </si>
  <si>
    <t xml:space="preserve">Bloques de 8" Ø 3/8@ 0.60 con 2 serpentina cada 3 lineas </t>
  </si>
  <si>
    <t>Bloques de 8" Ø 3/8@ 0.60</t>
  </si>
  <si>
    <t>Bloques de 6" Ø 3/8@ 0.60</t>
  </si>
  <si>
    <t xml:space="preserve">Bloques de 6" Ø 3/8@ 0.60 con 2 serpentina cada 3 lineas </t>
  </si>
  <si>
    <t xml:space="preserve">Bloques de 8" Ø 3/8@ 0.60 con 2 serpentina cada 3 líneas </t>
  </si>
  <si>
    <t xml:space="preserve">Bloques de 6" 3/8@ 0.60 con 2 serpentina cada 3 líneas </t>
  </si>
  <si>
    <t xml:space="preserve">Columna C1 (40X40) Hormigón 210 kg/cm2 industrial </t>
  </si>
  <si>
    <t xml:space="preserve">Columna CA (30X15) Hormigón 210 kg/cm2 industrial </t>
  </si>
  <si>
    <t xml:space="preserve">Columna CA (20X20) Hormigón 210 kg/cm2 industrial </t>
  </si>
  <si>
    <t xml:space="preserve">Columna CA (20X30) Hormigón 210 kg/cm2 industrial </t>
  </si>
  <si>
    <t xml:space="preserve">Viga Riostra (30x50), Hormigón 210 kg/cm2 industrial </t>
  </si>
  <si>
    <t xml:space="preserve">Viga V1 (20x35), Hormigón 210 kg/cm2 industrial </t>
  </si>
  <si>
    <t xml:space="preserve">Viga V2 (30x30), Hormigón 210 kg/cm2 industrial </t>
  </si>
  <si>
    <t xml:space="preserve">Viga V3 (30x38), Hormigón 210 kg/cm2 industrial </t>
  </si>
  <si>
    <t xml:space="preserve">Viga V4 (30x40), Hormigón 210 kg/cm2 industrial </t>
  </si>
  <si>
    <t xml:space="preserve">Viga V5 (30x40), Hormigón 210 kg/cm2 industrial </t>
  </si>
  <si>
    <t xml:space="preserve">Viga V6 (30x40), Hormigón 210 kg/cm2 industrial </t>
  </si>
  <si>
    <t xml:space="preserve">Viga V7 (30x40), Hormigón 210 kg/cm2 industrial </t>
  </si>
  <si>
    <t>Losa Aligerada, Hormigón 210 kg/cm2 industrial e= 0.20mt, con malla electrosolada D2.5x2.5x100x100</t>
  </si>
  <si>
    <t>Losa maciza, Hormigón 210 kg/cm2 industrial e= 0.12mt</t>
  </si>
  <si>
    <t>Losa maciza, Hormigón 210 kg/cm2 industrial e= 0.15mt</t>
  </si>
  <si>
    <t xml:space="preserve">Rampa de escalera (H= 0.15mt), Hormigón 210 kg/cm2 industrial </t>
  </si>
  <si>
    <t xml:space="preserve">Vuelo a=0.90mt, Hormigón 210 kg/cm2 industrial </t>
  </si>
  <si>
    <t>Chapapote en hormigón 180 kg/cm2,con malla electrosoldada  D2.3x2.3 de 15x15cm E=0.08m</t>
  </si>
  <si>
    <t>Piso de granito blanco .40x.40</t>
  </si>
  <si>
    <t>Zócalo de granito blanco</t>
  </si>
  <si>
    <t>Cerámica en baño de control, color blanco mate 20x30cm</t>
  </si>
  <si>
    <t>Vuelos a=0.50m, hormigón industrial 210kg/cm2</t>
  </si>
  <si>
    <t>Piso de granito blanco 0.40 X 0.40</t>
  </si>
  <si>
    <t xml:space="preserve">Bloques de 6" Ø 3/8@ 0.60 con 2 serpentina cada 3 líneas </t>
  </si>
  <si>
    <t xml:space="preserve">Bloques de 8" SNPØ 3/8@ 0.60 con 2 serpentina cada 3 líneas </t>
  </si>
  <si>
    <t xml:space="preserve">Bloques de 6" SNPØ 3/8@ 0.60 con 2 serpentina cada 3 líneas </t>
  </si>
  <si>
    <t>Colocación de malla plástica en juntas</t>
  </si>
  <si>
    <t xml:space="preserve">Zapata muro sección 1-1, Hormigón 210 kg/cm2 industrial </t>
  </si>
  <si>
    <t xml:space="preserve">Zapata muro sección 2-2, Hormigón 210 kg/cm2 industrial </t>
  </si>
  <si>
    <t xml:space="preserve">Zapata muro sección 3-3, Hormigón 210 kg/cm2 industrial </t>
  </si>
  <si>
    <t xml:space="preserve">Zapata ZC1 E=0.50m, Hormigón 210 kg/cm2 industrial </t>
  </si>
  <si>
    <t xml:space="preserve">Muro HA MH1, e=0.30mt, Hormigón 210 kg/cm2 industrial </t>
  </si>
  <si>
    <t>Rampa de hormigón con fibra según especificaciones técnicas, terminación violinado tipo para discapacitados.</t>
  </si>
  <si>
    <t>Violines en fachada exterior</t>
  </si>
  <si>
    <t xml:space="preserve">Vuelos en ventanas a=0.50mt  e=0.15m, Hormigón 210 kg/cm2  industrial </t>
  </si>
  <si>
    <t>Losa de Patinillos y vuelos a=0.10m. Hormigón 210 kg/cm2  industrial</t>
  </si>
  <si>
    <t>TERMINACIÓN DE TECHO:</t>
  </si>
  <si>
    <t>Escalera tipo gato L=10.45m (12UDS)</t>
  </si>
  <si>
    <t>Escalera tipo caracol L=10.45m (1UDS)</t>
  </si>
  <si>
    <t>Vuelos en ventanas a=0.50m, Hormigón 210 kg/cm2  industrial</t>
  </si>
  <si>
    <t>Losa maciza, Hormigón 210 kg/cm2  industrial e= 0.12mt y vuelos a=0.50m</t>
  </si>
  <si>
    <t>Losa maciza, Hormigón 210 kg/cm2  industrial e= 0.15mt y vuelos a=0.50m</t>
  </si>
  <si>
    <t>LOSAS INCLINADA 0.10M TECHO</t>
  </si>
  <si>
    <t xml:space="preserve">VUELO DE 0.50 DEL 2DO </t>
  </si>
  <si>
    <t>VUELO DE 0.50 DEL 3ER</t>
  </si>
  <si>
    <t>VUELO DE 0.50 DEL 4TO</t>
  </si>
  <si>
    <t>LOSAS PLANAS 0.12M. TECHO Y VUELOS 0.50</t>
  </si>
  <si>
    <t>LOSAS PLANAS 0.15M. TECHO Y VUELOS A=0.50</t>
  </si>
  <si>
    <t>Losa / Desencofrado  e=0.10</t>
  </si>
  <si>
    <t xml:space="preserve">Zapata Col CA, Hormigón 210 kg/cm2  industrial </t>
  </si>
  <si>
    <t xml:space="preserve">Columna de amarre (20X20) en fachada, Hormigón 210 kg/cm2  industrial </t>
  </si>
  <si>
    <t>ZAPATA  COLUMNA AMARRE CA</t>
  </si>
  <si>
    <t xml:space="preserve">Zabaleta en área de duchas </t>
  </si>
  <si>
    <t>Denglass en fachada</t>
  </si>
  <si>
    <t>P5-Puerta en hierro de 3/4¨ @0.13m, una hoja batiente. Incl. dos paños fijos. 0.40m A.L. Ver tabla de puertas  y ventanas.</t>
  </si>
  <si>
    <t>P1-Puerta en hierro de 3/4¨ @0.13m, dos hojas batientes. Incl. dos paños fijos 1.50m A.L. Ver tabla de puertas  y ventanas.</t>
  </si>
  <si>
    <t>P2-Puerta en hierro de 3/4¨ @0.13m, una hoja batiente.Incl. un paño fijo 0.88 L.I. Ver tabla de puertas  y ventanas.</t>
  </si>
  <si>
    <t>P4-Puerta batiente de hierro forrado en tola. Ver tabla de puertas  y ventanas.</t>
  </si>
  <si>
    <t>P3-Puerta polimetal batiente. Ver tabla de puertas  y ventanas.</t>
  </si>
  <si>
    <t>P7-Puerta en hierro 3/4¨ @0.13m. Dos hojas batientes. Ver tabla de puertas  y ventanas.</t>
  </si>
  <si>
    <t>P6-Puerta en hierro de 3/4¨ @0.13m ,dos hojas batientes. Incl. dos paños fijos 0.75m A.L. Ver tabla de puertas  y ventanas.</t>
  </si>
  <si>
    <t>P8-Puerta en hierro de 3/4¨ @0.13m, una hoja batiente. Incl. un paño fijo 0.40m L.I . Ver tabla de puertas  y ventanas.</t>
  </si>
  <si>
    <t>P10-Puerta polimetal con visor. Ver tabla de puertas  y ventanas.</t>
  </si>
  <si>
    <t>V2-Ventana celosia de aluminio blanca AA cal. 40</t>
  </si>
  <si>
    <t>V1-Ventana celosia de aluminio blanca AA cal. 40</t>
  </si>
  <si>
    <t>P9-Puerta polimetal H=1.50m. Ver tabla de puertas  y ventanas.</t>
  </si>
  <si>
    <t xml:space="preserve">Techo en hierro de 3/4¨ @0.13m </t>
  </si>
  <si>
    <t>P11-Puerta corrediza de barrotes redonda de Ø ¾ " segun detalle en nueva revisión de planos, incluye panel fijo. Ver tabla de puertas  y ventanas.</t>
  </si>
  <si>
    <t>H1-Hierro horizontal de 3/4 @0.13m. Ver tabla de puertas  y ventanas.</t>
  </si>
  <si>
    <t>H2-Hierro horizontal de 3/4 @0.13m. Ver tabla de puertas  y ventanas.</t>
  </si>
  <si>
    <t>V1-Hierro horizontal de 3/4 @0.13m. Ver tabla de puertas  y ventanas.</t>
  </si>
  <si>
    <t>H6-Hierro horizontal de 3/4¨ @0.13m. Ver tabla de puertas  y ventanas.</t>
  </si>
  <si>
    <t xml:space="preserve">H4-Hierro horizontal de 3/4¨ @0.13m. Ver tabla de puertas  y ventanas. </t>
  </si>
  <si>
    <t>H3-Hierro horizontal de 3/4¨ @0.13m. Ver tabla de puertas  y ventanas.</t>
  </si>
  <si>
    <t xml:space="preserve">H1-Hierro horizontal de 3/4 @0.13m. H6-Hierro horizontal de 3/4¨ @0.13m. Ver tabla de puertas  y ventanas. </t>
  </si>
  <si>
    <t>H2-Hierro horizontal de 3/4 @0.13m.H6-Hierro horizontal de 3/4¨ @0.13m. Ver tabla de puertas  y ventanas.</t>
  </si>
  <si>
    <t>V1-Hierro horizontal de 3/4 @0.13m.H6-Hierro horizontal de 3/4¨ @0.13m. Ver tabla de puertas  y ventanas.</t>
  </si>
  <si>
    <t>Louvers en ventanas, según planos</t>
  </si>
  <si>
    <t>Pintura epóxica en área de duchas en celdas H=2.00m</t>
  </si>
  <si>
    <t xml:space="preserve">Malla ciclónica </t>
  </si>
  <si>
    <t>Louvers en ventanas según planos. Incl. pintura.</t>
  </si>
  <si>
    <t>Louvers en fachada (4UDS) L=10.32m  según planos. Incl. pintura.</t>
  </si>
  <si>
    <t>VUELOS CARA DE MONJA DE 0.50 DEL 1er</t>
  </si>
  <si>
    <t>VUELOS CARA DE MONJA DE 0.50 DEL 2DO</t>
  </si>
  <si>
    <t>VUELOS CARA DE MONJA DE 0.50 DEL 3er</t>
  </si>
  <si>
    <t>VIGA VDV CARA MONJA 20 X 40 1ER N</t>
  </si>
  <si>
    <t>Molde para viga de 0.2x0.4</t>
  </si>
  <si>
    <t>VIGA VDV CARA MONJA 20 X 40 2DO N</t>
  </si>
  <si>
    <t>VIGA VDV CARA MONJA 20 X 40 3ER N</t>
  </si>
  <si>
    <t xml:space="preserve">Viga Vdv (20x40), Hormigón 210 kg/cm2  industrial </t>
  </si>
  <si>
    <t>TERMINACIONES EN VENTANAS TIPO CARA DE MONJA: 1ER NIVEL</t>
  </si>
  <si>
    <t>TERMINACIONES EN VENTANAS TIPO CARA DE MONJA: 2DO NIVEL</t>
  </si>
  <si>
    <t>Terminaciones en ventanas tipo cara de monja</t>
  </si>
  <si>
    <t>ml/nivel</t>
  </si>
  <si>
    <t>Transporte ( 2.50%)</t>
  </si>
  <si>
    <t>Grama y tierra negra en jardinería</t>
  </si>
  <si>
    <t>Acera perimetral</t>
  </si>
  <si>
    <t>Plafond 2 x 2 blanco en pvc área baño de celdas y cuarto control</t>
  </si>
  <si>
    <t>Plafond 2 x 2 blanco en pvc en cuarto control</t>
  </si>
  <si>
    <t>Plafond 2 x2 blanco en pvc en cuarto control</t>
  </si>
  <si>
    <t>Anclaje con resina epóxica de vigas de amarre a elementos de hormigón armado.</t>
  </si>
  <si>
    <t xml:space="preserve"> Policarbonato. Ver tabla de puertas  y ventanas.</t>
  </si>
  <si>
    <t>INSTALACIONES ELECTRICAS:</t>
  </si>
  <si>
    <t>Salida de luces de techo con 2THW Nº 12 . con  tuberia PVC SDR-26 de 1/2, roseta de porcelana leviton y bombillo de 15 vatios tipo led.</t>
  </si>
  <si>
    <t>Registro alimentador para electricidad registro 14"x 14"x4" nema 1 , con tapa ciega , empotrado en el hormigón .</t>
  </si>
  <si>
    <t>Salida de data/telefono con dos alambres UTP cat.6 y una tapa ciega rectangular plástica Bticino modus, en caja 2"x4" Americana, tuberia PVC 3/4"  SDR-26, Mensajero eléctrico en soga de nylon, Tapa con conector para data y telefono.</t>
  </si>
  <si>
    <t>3er Nivel</t>
  </si>
  <si>
    <t>Salida de luces de antepecho con lámparas led de 150w cabeza de cobra y brazo de 4´, alimentador con 2THW Nº 10 y 1THW Nº 12  en tuberia PVC SDR-26 de 3/4</t>
  </si>
  <si>
    <t>Salida de luces con 2THW Nº 12 . con  tuberia PVC SDR-26 de 1/2.</t>
  </si>
  <si>
    <t>Tomacorriente110 volt bticino modus  con 3 THHW # 12  y 1THW#12, colocados en cajas 2"x 4" de fabricacion Americana y tuberia PVC SDR 26 de 1/2".</t>
  </si>
  <si>
    <t>Salida  para camara de seguridad, en caja 2"x4", tuberia PVC 3/4" SDR-26, Mensajero electrico en soga de nylon, Tapa de metal con nock-out</t>
  </si>
  <si>
    <t>4to Nivel</t>
  </si>
  <si>
    <t>Interuptor sencillo bticino de 15Amp. o mas tipo Leviton o semejante con Alimentador  2THW#12 , colocados en cajas de fabricación Americana y tubos PVC SDR-26 de 1/2".</t>
  </si>
  <si>
    <t>Tomacorriente110 volt bticino modus  con 3 THHW # 12  colocados en cajas 2"x 4" de fabricación Americana y tuberia PVC SDR 26 de 1/2".</t>
  </si>
  <si>
    <t>Panel de distribución de 24 espacios  treefasico espacios GE o semejante, para distribución electrica Nema 1, con 5  Breaker de 20 Amp/1. y 4 Breaker de 30 Amp./2,  la misma fabricación , con  alimentadores eléctricos compuesto por 3THW#2, 1THW#4 y 1THW#6, en tuberia PVC SDR-26 de 2"</t>
  </si>
  <si>
    <t>Tomacorriente 220 volt bticino modus  con 2 THHW # 10  y u1THHN#12 colocados en cajas 2"x 4" de fabricación Americana y tuberia PVC SDR 26 de 3/4".</t>
  </si>
  <si>
    <t>Interuptor doble bticino de 15Amp. o mas tipo Leviton o semejante con Alimentador  3THW#12 , colocados en cajas de fabricación
Americana y tubos PVC SDR-26 de 1/2".</t>
  </si>
  <si>
    <t>Salida de antena en tuberia PVC SDR 26 de 3/4" y conductor eléctrico alambre 2THW Nº 12 con mensajero y con caja ciega plástica reactangularde bticino modus.</t>
  </si>
  <si>
    <t>Panel de distribución de 24 espacios  treefasico espacios GE o semejante, para distribución electrica Nema 1, con 14  Breaker de 20 Amp/1. y 1 Breaker de 30 Amp./2,  la misma fabricación , con  alimentadores eléctricos compuesto por 3THW#16, 1THW#6 y 1THW#8, en tuberia PVC SDR-26 de 1"</t>
  </si>
  <si>
    <t>Panel de control de iluminación y abanico instalado en area de control.</t>
  </si>
  <si>
    <t>Salida de luces con 2THHN#12 en tuberia PVC SDR-26 de 1/2, roseta de porcelana Leviton y bombillos de 15 vatios tipo Led</t>
  </si>
  <si>
    <t>Interruptor sencillo con 2THHN #12 en tuberia PVC SDR-26 de 1/2</t>
  </si>
  <si>
    <t>Tomacorriente 110 V Bticino Modus con 3THHN#12 en tuberia PVC SDR-26 de 1/2</t>
  </si>
  <si>
    <t>Tomacorriente 220V Bticino Modus con 2THHN#10 y 1THHN#12 en tuberia PVC SDR-26 de 3/4</t>
  </si>
  <si>
    <t>Salida de Data/Telefono con dos alambre VTP cat.6 y una tapa ciega rectangular plastica Bticino modus en tuberia  PVC SDR-26 de 3/4</t>
  </si>
  <si>
    <t>Panel board 120/208V trifasico Nema 3 con main breaker 300A/3, 2 breaker 80A/3, 3 breaker de 60A/3 y una disponibilidad breaker industrial</t>
  </si>
  <si>
    <t>Registro 14x14x4 Nema 1</t>
  </si>
  <si>
    <t>Sistema de aterrizaje con 3 varillas de tierra</t>
  </si>
  <si>
    <t>Salida Abanico 2THW#12 en tuberia PVC SDR-26 de 1/2, una tapa ciega octagonal y un abanico orbital KDK con aspas plásticas</t>
  </si>
  <si>
    <t>Salida de antena en tuberia PVC 3/4 SDR-26 con mensajero y una tapa plástica rectangular Bticino Modus</t>
  </si>
  <si>
    <t>Salida de cámara con mensajero, una tapa ciega rectangular de metal  con mockout en tuberia PVC SDR-26 de 3/4</t>
  </si>
  <si>
    <t>Preinstalación de A/A en área de gabinete de data y cámara</t>
  </si>
  <si>
    <t>Panel de distribución de 24 espacio trifasico con 16 breaker de 20A/1, 1 breaker de 30A/2 alimentado con 3THHN#6, 1THHN#6 y 1THHN#10 en tuberia PVC SDR-26 de 1</t>
  </si>
  <si>
    <t>Panel para control de iluminación y abanico instalado en área de control</t>
  </si>
  <si>
    <t>Salida de luces con 2THHN#12 en tuberia PVC SDR-26 de 1/2, roseta de porcelana Leviton y bombillo de 15 vatios tipo Led</t>
  </si>
  <si>
    <t>Interruptor Sencillo Bticino Modus con 2THHN#12 en tuberia PVC SDR-26 de 1/2</t>
  </si>
  <si>
    <t>Tomacorriente 110V Bticino Modus con 3THHN#12 en tuberia PVC SDR-26 de 1/2</t>
  </si>
  <si>
    <t>Salida de Data/Telefono con 2 alambre VTP cat.6 y una tapa ciega rectangular plastica Bticino Modus en tuberia PVC SDR-26 de 3/4</t>
  </si>
  <si>
    <t>Salida de abanico con 2THHN#12 en tuberia PVC SDR-26 de 1/2, una tapa ciega octagonal y un abanico orbital KDK con tapa plástica</t>
  </si>
  <si>
    <t>Salida de antena en tuberia PVC SDR-26 de 3/4 con mensajero y una tapa ciega plástica rectangular Bticino Modus.</t>
  </si>
  <si>
    <t>Salida de cámara con mensajero y una tapa ciega rectangular plástica en tuberia PVC SDR-26 de 3/4</t>
  </si>
  <si>
    <t>Panel de ditribución de 24 espacios trifasico con 14 breaker de 20A/1 alimentado con 3THHN#6, 1THHN#6 y 1THHN#8 en tuberia PVC  SDR-26 de 1</t>
  </si>
  <si>
    <t>Salida con abanico orbital tipo KDK o semejante con aspa plástica, con caja ciega octagonal, abanico y conductores  fabricación americana, conducto de alimentación tubo PVC SDR 26 de1/2" y conductor eléctrico alambre 2THW Nº 12 .</t>
  </si>
  <si>
    <t xml:space="preserve">CONSTRUCCION EDIFICIO A ALOJAMIENTO HOMBRES  CAPLP 33.                                                                                    FECHA: 5 de Marzo del 2021                                            </t>
  </si>
  <si>
    <t>PRELIMINARES :</t>
  </si>
  <si>
    <t xml:space="preserve">Replanteo </t>
  </si>
  <si>
    <t xml:space="preserve">PA </t>
  </si>
  <si>
    <t>Columna de agua fria 4'' Tubería ranurada en acero negro . Suministro de materiales, piezas e instalación de columna de agua fria 4'' con derivación a gabinete para sistema contraincendio. Conexión tipo victaulic.</t>
  </si>
  <si>
    <r>
      <rPr>
        <b/>
        <sz val="12"/>
        <rFont val="Arial"/>
        <family val="2"/>
      </rPr>
      <t>Lavamanos blanco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lavamanos, incluye mezcladora, accesorios y conexión de instalaciones sanitarias. PPR  (Agua potable) y PVC SDR 41 (Agua residual) según planos.</t>
    </r>
  </si>
  <si>
    <r>
      <rPr>
        <b/>
        <sz val="12"/>
        <rFont val="Arial"/>
        <family val="2"/>
      </rPr>
      <t>Lavamanos en hormigón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y confección de lavamanos, incluye llave a chorro, accesorios y conexión de instalaciones sanitarias. PPR (Agua potable) y PVC SDR 41 (Agua residual) según planos.</t>
    </r>
  </si>
  <si>
    <r>
      <rPr>
        <b/>
        <sz val="12"/>
        <rFont val="Arial"/>
        <family val="2"/>
      </rPr>
      <t>Inodoro de un solo cuerpo antivándalico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inodoro. Incluye accesorios y conexión de instalaciones sanitarias. PPR  (Agua potable) y PVC SDR 41 (Agua residual) según plano.</t>
    </r>
  </si>
  <si>
    <r>
      <rPr>
        <b/>
        <sz val="12"/>
        <rFont val="Arial"/>
        <family val="2"/>
      </rPr>
      <t>Inodoro de un solo cuerpo blanco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inodoro. Incluye accesorios y conexión de instalaciones sanitarias. PPR  (Agua potable) y PVC SDR 41 (Agua residual) según plano.</t>
    </r>
  </si>
  <si>
    <r>
      <rPr>
        <b/>
        <sz val="12"/>
        <rFont val="Arial"/>
        <family val="2"/>
      </rPr>
      <t>Ducha antivandalica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 xml:space="preserve">Suministro e instalación de ducha antivandalica. Incluye accesorios y conexión de instalaciones sanitarias en PPR según planos y detalles. </t>
    </r>
  </si>
  <si>
    <r>
      <rPr>
        <b/>
        <sz val="12"/>
        <rFont val="Arial"/>
        <family val="2"/>
      </rPr>
      <t>Tapón registro 2'' (patinillos de celdas).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Suministro e instalación de tapón registro 2'' según especificado en planos de instalaciones sanitarias.</t>
    </r>
  </si>
  <si>
    <r>
      <rPr>
        <b/>
        <sz val="12"/>
        <rFont val="Arial"/>
        <family val="2"/>
      </rPr>
      <t>Tapón registro 4'' (patinillo de celdas, duchas y control).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Suministro e instalación de tapón registro 4'' según especificado en planos de instalaciones sanitarias.</t>
    </r>
  </si>
  <si>
    <r>
      <rPr>
        <b/>
        <sz val="12"/>
        <rFont val="Arial"/>
        <family val="2"/>
      </rPr>
      <t>Desagüe de piso 2''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desagüe de piso de 2''  plástica (baño del control) según especificado en planos.</t>
    </r>
  </si>
  <si>
    <r>
      <rPr>
        <b/>
        <sz val="12"/>
        <rFont val="Arial"/>
        <family val="2"/>
      </rPr>
      <t>Desagüe de piso antivándalico 3''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desagüe de piso de 3''  en acero inoxidable  según especificado en planos.</t>
    </r>
  </si>
  <si>
    <r>
      <rPr>
        <b/>
        <sz val="12"/>
        <rFont val="Arial"/>
        <family val="2"/>
      </rPr>
      <t>Vertedero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 xml:space="preserve">Suministro e instalación de llave de chorro 1/2", agua potable en PPR y desagüe de piso antivándalico 3'' en acero inoxidable según especificado en planos de instalaciones sanitarias. </t>
    </r>
  </si>
  <si>
    <r>
      <rPr>
        <b/>
        <sz val="12"/>
        <rFont val="Arial"/>
        <family val="2"/>
      </rPr>
      <t>Extintor tipo ABC (10 kg)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>Suministro e instalación de extintor, incluye señalización de flecha  e instrucción de uso.</t>
    </r>
  </si>
  <si>
    <r>
      <rPr>
        <b/>
        <sz val="12"/>
        <rFont val="Arial"/>
        <family val="2"/>
      </rPr>
      <t>Sistema contraincendio.</t>
    </r>
    <r>
      <rPr>
        <sz val="12"/>
        <rFont val="Arial"/>
        <family val="2"/>
      </rPr>
      <t xml:space="preserve"> Incluye suministro de gabinete con manguera de 100' x 1 1/2'', señalización de flecha e instrucción de uso y mano de obra.</t>
    </r>
  </si>
  <si>
    <r>
      <rPr>
        <b/>
        <sz val="12"/>
        <rFont val="Arial"/>
        <family val="2"/>
      </rPr>
      <t>Salida para lavamanos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salidas para lavamanos. Incluye accesorios y materiales de instalaciones sanitarias,  en  PPR (Agua potable) y PVC SDR 41 (Agua residual) según plano.</t>
    </r>
  </si>
  <si>
    <r>
      <rPr>
        <b/>
        <sz val="12"/>
        <rFont val="Arial"/>
        <family val="2"/>
      </rPr>
      <t>Salida para inodoro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salidas para inodoro.  Incluye accesorios y materiales de instalaciones sanitarias,  en  PPR (Agua potable) y PVC SDR 41 (Agua residual) según plano.</t>
    </r>
  </si>
  <si>
    <r>
      <rPr>
        <b/>
        <sz val="12"/>
        <rFont val="Arial"/>
        <family val="2"/>
      </rPr>
      <t>Salida para desagüe de piso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salidas para desagüe de piso.  Incluye accesorios y materiales de instalaciones sanitarias, PVC SDR 41 según plano.</t>
    </r>
  </si>
  <si>
    <r>
      <rPr>
        <b/>
        <sz val="12"/>
        <rFont val="Arial"/>
        <family val="2"/>
      </rPr>
      <t>Columnas Agua fría 1 1/2''  (patinillo duchas)''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 e instalación de columna de agua fría 1 1/2'' PPR.</t>
    </r>
  </si>
  <si>
    <r>
      <rPr>
        <b/>
        <sz val="12"/>
        <rFont val="Arial"/>
        <family val="2"/>
      </rPr>
      <t>Columnas Agua fría 2''  (patinillo celdas)''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 e instalación de columna de agua fría 2'' PPR.</t>
    </r>
  </si>
  <si>
    <r>
      <rPr>
        <b/>
        <sz val="12"/>
        <rFont val="Arial"/>
        <family val="2"/>
      </rPr>
      <t>Bajante pluvial 4''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>Suministro de materiales e instalación de bajante pluvial 4'' PVC SDR-26.</t>
    </r>
  </si>
  <si>
    <r>
      <rPr>
        <b/>
        <sz val="12"/>
        <rFont val="Arial"/>
        <family val="2"/>
      </rPr>
      <t>Columna de ventilación 4''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materiales, soportes tipo unitrust y mano de obra de colocación columna de ventilación de descarga de agua residual 4'' PVC SDR-26.</t>
    </r>
  </si>
  <si>
    <r>
      <rPr>
        <b/>
        <sz val="12"/>
        <rFont val="Arial"/>
        <family val="2"/>
      </rPr>
      <t>Tubería de arrastre drenaje sanitario Ø 4'' PVC  SDR-41 (Colgante)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Incluye suministro de materiales, piezas y soportes.</t>
    </r>
  </si>
  <si>
    <r>
      <rPr>
        <b/>
        <sz val="12"/>
        <rFont val="Arial"/>
        <family val="2"/>
      </rPr>
      <t>Tubería de arrastre drenaje sanitario Ø 3''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PVC  SDR-41 (Colgante)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 xml:space="preserve"> Incluye suministro de materiales, piezas y soportes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</si>
  <si>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Tubería de arrastre drenaje sanitario Ø 2''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PVC  SDR-41 (Colgante)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 xml:space="preserve"> Incluye suministro de materiales, piezas y soportes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</si>
  <si>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Tubería de agua potable  Ø 1/2'' PPR (Colgante)</t>
    </r>
    <r>
      <rPr>
        <i/>
        <sz val="12"/>
        <rFont val="Arial"/>
        <family val="2"/>
      </rPr>
      <t>. Incluye suministro de materiales, piezas y soportes.</t>
    </r>
  </si>
  <si>
    <r>
      <rPr>
        <b/>
        <sz val="12"/>
        <rFont val="Arial"/>
        <family val="2"/>
      </rPr>
      <t>Tubería de agua potable  Ø 3/4'' PPR (Colgante)</t>
    </r>
    <r>
      <rPr>
        <i/>
        <sz val="12"/>
        <rFont val="Arial"/>
        <family val="2"/>
      </rPr>
      <t>. Incluye suministro de materiales, piezas y soportes.</t>
    </r>
  </si>
  <si>
    <r>
      <rPr>
        <b/>
        <sz val="12"/>
        <rFont val="Arial"/>
        <family val="2"/>
      </rPr>
      <t>Tubería de agua potable  Ø 1'' PPR (Colgante)</t>
    </r>
    <r>
      <rPr>
        <i/>
        <sz val="12"/>
        <rFont val="Arial"/>
        <family val="2"/>
      </rPr>
      <t>. Incluye suministro de materiales, piezas y soportes.</t>
    </r>
  </si>
  <si>
    <r>
      <rPr>
        <b/>
        <sz val="12"/>
        <rFont val="Arial"/>
        <family val="2"/>
      </rPr>
      <t>Tubería de agua potable  Ø 2'' PPR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(Colgante)</t>
    </r>
    <r>
      <rPr>
        <i/>
        <sz val="12"/>
        <rFont val="Arial"/>
        <family val="2"/>
      </rPr>
      <t>. Incluye suministro de materiales, piezas y soportes.</t>
    </r>
  </si>
  <si>
    <r>
      <rPr>
        <b/>
        <sz val="12"/>
        <rFont val="Arial"/>
        <family val="2"/>
      </rPr>
      <t>Válvula de paso 1'' (patinillos duchas) esférica de palanca H.G (o PPR).</t>
    </r>
    <r>
      <rPr>
        <sz val="12"/>
        <rFont val="Arial"/>
        <family val="2"/>
      </rPr>
      <t xml:space="preserve"> Incluye suministro, piezas, mano de obra.</t>
    </r>
  </si>
  <si>
    <r>
      <rPr>
        <b/>
        <sz val="12"/>
        <rFont val="Arial"/>
        <family val="2"/>
      </rPr>
      <t>Válvula de paso 2'' (patinillos celdas) esférica de palanca H.G (o PPR).</t>
    </r>
    <r>
      <rPr>
        <sz val="12"/>
        <rFont val="Arial"/>
        <family val="2"/>
      </rPr>
      <t xml:space="preserve"> Incluye suministro, piezas, mano de obra.</t>
    </r>
  </si>
  <si>
    <r>
      <rPr>
        <b/>
        <sz val="12"/>
        <rFont val="Arial"/>
        <family val="2"/>
      </rPr>
      <t>Tapón registro 2'' (patinillos de celdas).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Suministro e instalación de Tapón registro 2''  según especificado en planos de instalaciones sanitarias.</t>
    </r>
  </si>
  <si>
    <r>
      <rPr>
        <b/>
        <sz val="12"/>
        <rFont val="Arial"/>
        <family val="2"/>
      </rPr>
      <t>Tapón registro 4'' (patinillos de celdas, duchas y control).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Suministro e instalación de Tapón registro 4'' según especificado en planos de instalaciones sanitarias.</t>
    </r>
  </si>
  <si>
    <r>
      <rPr>
        <b/>
        <sz val="12"/>
        <rFont val="Arial"/>
        <family val="2"/>
      </rPr>
      <t>Sistema contraincendio.</t>
    </r>
    <r>
      <rPr>
        <sz val="12"/>
        <rFont val="Arial"/>
        <family val="2"/>
      </rPr>
      <t xml:space="preserve"> Incluye suministro de gabinete con manguera de 1 1/2''x100 pies, válvula, pistón, caja, señalización de flecha e instrucción de uso y mano de obra..</t>
    </r>
  </si>
  <si>
    <r>
      <rPr>
        <b/>
        <sz val="12"/>
        <rFont val="Arial"/>
        <family val="2"/>
      </rPr>
      <t>Columnas agua fría 3/4''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 e instalación de columna de agua fría 3/4'' PPR.</t>
    </r>
  </si>
  <si>
    <r>
      <rPr>
        <b/>
        <sz val="12"/>
        <rFont val="Arial"/>
        <family val="2"/>
      </rPr>
      <t>Columnas agua fría 1 1/2" (patinillos duchas)''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 e instalación de columna de agua fría 1 1/2'' PPR.</t>
    </r>
  </si>
  <si>
    <r>
      <rPr>
        <b/>
        <sz val="12"/>
        <rFont val="Arial"/>
        <family val="2"/>
      </rPr>
      <t>Columnas agua fría 2" (patinillos celdas)''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 e instalación de columna de agua fría 2'' PPR.</t>
    </r>
  </si>
  <si>
    <r>
      <rPr>
        <b/>
        <sz val="12"/>
        <rFont val="Arial"/>
        <family val="2"/>
      </rPr>
      <t>Bajante pluvial 2''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>Suministro de materiales e instalación de bajante pluvial 2'' PVC SDR-26.</t>
    </r>
  </si>
  <si>
    <r>
      <rPr>
        <b/>
        <sz val="12"/>
        <rFont val="Arial"/>
        <family val="2"/>
      </rPr>
      <t>Bajante de descarga 4''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>Suministro de materiales, soportes tipo unitrust y mano de obra de bajante de descarga 4'' PVC SDR-26..</t>
    </r>
  </si>
  <si>
    <r>
      <rPr>
        <b/>
        <sz val="12"/>
        <rFont val="Arial"/>
        <family val="2"/>
      </rPr>
      <t>Lavamanos en hormigón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y confección de lavamanos, incluye llave a chorro, desagüe y conexión de instalaciones sanitarias. PPR (Agua potable) y PVC SDR 41 (Agua residual) según planos.</t>
    </r>
  </si>
  <si>
    <r>
      <rPr>
        <b/>
        <sz val="12"/>
        <rFont val="Arial"/>
        <family val="2"/>
      </rPr>
      <t>Ducha antivándalica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 xml:space="preserve">Suministro e instalación de ducha antivándalica. Incluye accesorios y conexión de instalaciones sanitarias en PPR según planos y detalles. </t>
    </r>
  </si>
  <si>
    <r>
      <rPr>
        <b/>
        <sz val="12"/>
        <rFont val="Arial"/>
        <family val="2"/>
      </rPr>
      <t>Tapón registro 4'' (patinillos de celdas).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Suministro e instalación de tapón registro 4'' según especificado en planos de instalaciones sanitarias.</t>
    </r>
  </si>
  <si>
    <r>
      <rPr>
        <b/>
        <sz val="12"/>
        <rFont val="Arial"/>
        <family val="2"/>
      </rPr>
      <t>Columnas agua fría 2''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de materiales soportes e instalación de columna de agua fría 2'' PPR.</t>
    </r>
  </si>
  <si>
    <r>
      <rPr>
        <b/>
        <sz val="12"/>
        <rFont val="Arial"/>
        <family val="2"/>
      </rPr>
      <t>Bajante pluvial 3''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>Suministro de materiales e instalación de bajante pluvial 3'' PVC SDR-26.</t>
    </r>
  </si>
  <si>
    <r>
      <rPr>
        <b/>
        <sz val="12"/>
        <rFont val="Arial"/>
        <family val="2"/>
      </rPr>
      <t>Tubería de arrastre drenaje sanitario Ø 4'' PVC  SDR-41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Incluye excavación, asiento de arena de 0.10m, bote y relleno de reposición.</t>
    </r>
  </si>
  <si>
    <r>
      <rPr>
        <b/>
        <sz val="12"/>
        <rFont val="Arial"/>
        <family val="2"/>
      </rPr>
      <t>Tubería de arrastre drenaje sanitario Ø 2''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PVC  SDR-41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Incluye excavación, asiento de arena de 0.10m, bote y relleno de reposición.</t>
    </r>
  </si>
  <si>
    <r>
      <rPr>
        <b/>
        <sz val="12"/>
        <rFont val="Arial"/>
        <family val="2"/>
      </rPr>
      <t>Tubería de agua potable  Ø 1/2'' PPR.</t>
    </r>
    <r>
      <rPr>
        <i/>
        <sz val="12"/>
        <rFont val="Arial"/>
        <family val="2"/>
      </rPr>
      <t xml:space="preserve"> Incluye excavación, asiento de arena de 0.05m, bote y relleno de reposición.</t>
    </r>
  </si>
  <si>
    <r>
      <rPr>
        <b/>
        <sz val="12"/>
        <rFont val="Arial"/>
        <family val="2"/>
      </rPr>
      <t>Tubería de agua potable  Ø 3/4'' PPR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 xml:space="preserve"> Incluye excavación, asiento de arena de 0.05m, bote y relleno de reposición.</t>
    </r>
  </si>
  <si>
    <r>
      <rPr>
        <b/>
        <sz val="12"/>
        <rFont val="Arial"/>
        <family val="2"/>
      </rPr>
      <t>Tubería de agua potable  Ø 1'' PPR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 xml:space="preserve"> Incluye excavación, asiento de arena de 0.05m, bote y relleno de reposición.</t>
    </r>
  </si>
  <si>
    <r>
      <rPr>
        <b/>
        <sz val="12"/>
        <rFont val="Arial"/>
        <family val="2"/>
      </rPr>
      <t>Tubería de agua potable  Ø 2'' PPR</t>
    </r>
    <r>
      <rPr>
        <sz val="12"/>
        <rFont val="Arial"/>
        <family val="2"/>
      </rPr>
      <t xml:space="preserve"> .</t>
    </r>
    <r>
      <rPr>
        <i/>
        <sz val="12"/>
        <rFont val="Arial"/>
        <family val="2"/>
      </rPr>
      <t xml:space="preserve"> Incluye excavación, asiento de arena de 0.05m, bote y relleno de reposición.</t>
    </r>
  </si>
  <si>
    <r>
      <rPr>
        <b/>
        <sz val="12"/>
        <rFont val="Arial"/>
        <family val="2"/>
      </rPr>
      <t xml:space="preserve">Lavadero doble 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lavadero doble, incluye llave de chorro 1/2", accesorios y materiales de instalaciones sanitarias,  en  PPR (Agua potable) y PVC SDR 41 (Agua residual) según plano.</t>
    </r>
  </si>
  <si>
    <r>
      <rPr>
        <b/>
        <sz val="12"/>
        <rFont val="Arial"/>
        <family val="2"/>
      </rPr>
      <t>Salida para lavadoras, lavaderos y vertederos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e instalación de salidas para lavadoras, lavaderos y vertederos. Incluye accesorios y materiales de instalaciones sanitarias,  en  PPR (Agua potable) y PVC SDR 41 (Agua residual) según plano.</t>
    </r>
  </si>
  <si>
    <r>
      <rPr>
        <b/>
        <sz val="12"/>
        <rFont val="Arial"/>
        <family val="2"/>
      </rPr>
      <t>Ventilación de techo 4''</t>
    </r>
    <r>
      <rPr>
        <sz val="12"/>
        <rFont val="Arial"/>
        <family val="2"/>
      </rPr>
      <t>.</t>
    </r>
    <r>
      <rPr>
        <i/>
        <sz val="12"/>
        <rFont val="Arial"/>
        <family val="2"/>
      </rPr>
      <t xml:space="preserve"> Incluye mano de obra y suministros de materiales según especificaciones en planos. </t>
    </r>
  </si>
  <si>
    <r>
      <rPr>
        <b/>
        <sz val="12"/>
        <rFont val="Arial"/>
        <family val="2"/>
      </rPr>
      <t>Tinaco 700 galones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 xml:space="preserve">Incluye suministro de materiales, piezas y válvulas y mano de obra según detalles en planos sanitarios. </t>
    </r>
  </si>
  <si>
    <t>INSTALACIONES SANITARIAS EXTERIORES:</t>
  </si>
  <si>
    <r>
      <rPr>
        <b/>
        <sz val="12"/>
        <rFont val="Arial"/>
        <family val="2"/>
      </rPr>
      <t>Registro Residual (0.70x0.70x0.80) m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Incluye suministro de materiales y mano de obra.</t>
    </r>
  </si>
  <si>
    <r>
      <rPr>
        <b/>
        <sz val="12"/>
        <rFont val="Arial"/>
        <family val="2"/>
      </rPr>
      <t>Registro Pluvial (0.70x0.70x0.80) m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Incluye suministro de materiales y mano de obra.</t>
    </r>
  </si>
  <si>
    <r>
      <rPr>
        <b/>
        <sz val="12"/>
        <rFont val="Arial"/>
        <family val="2"/>
      </rPr>
      <t>Trampa de grasa (1.00x1.00x1.00) m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Incluye suministro de materiales y mano de obra.</t>
    </r>
  </si>
  <si>
    <r>
      <rPr>
        <b/>
        <sz val="12"/>
        <rFont val="Arial"/>
        <family val="2"/>
      </rPr>
      <t>Canaleta pluvial (0.20x0.25)m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Suministro y mano de obra de canaleta, incluye conexión de instalaciones sanitarias en PVC según planos.</t>
    </r>
  </si>
  <si>
    <r>
      <rPr>
        <b/>
        <sz val="12"/>
        <rFont val="Arial"/>
        <family val="2"/>
      </rPr>
      <t>Válvula de paso 3/4'' esférica de palanca H.G (o PPR).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Incluye suministro, piezas, mano de obra y caja de valvula plástica.</t>
    </r>
  </si>
  <si>
    <r>
      <rPr>
        <b/>
        <sz val="12"/>
        <rFont val="Arial"/>
        <family val="2"/>
      </rPr>
      <t>Válvula de paso 2'' esférica de palanca H.G (o PPR).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Incluye suministro, piezas, mano de obra y caja de valvula plástica.</t>
    </r>
  </si>
  <si>
    <r>
      <rPr>
        <b/>
        <sz val="12"/>
        <rFont val="Arial"/>
        <family val="2"/>
      </rPr>
      <t>Válvula check horizontal 2'' bronce.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Suministro e instalación de válvula check horizontal de 2''.</t>
    </r>
  </si>
  <si>
    <t>HORMIGON ARMADO EN:</t>
  </si>
  <si>
    <t>PUERTAS:</t>
  </si>
  <si>
    <t>TERMINACION DE TECHO:</t>
  </si>
  <si>
    <t>VARIOS:</t>
  </si>
  <si>
    <t>LIMPIEZA GENERAL</t>
  </si>
  <si>
    <t>GASTOS INDIRECTOS:</t>
  </si>
  <si>
    <t>Itbis de Honorarios -(Norma 07-07 de la DGII (1.8%)</t>
  </si>
  <si>
    <t>PREPARADO POR:</t>
  </si>
  <si>
    <t>REVISADO POR:</t>
  </si>
  <si>
    <t>Pañete liso exterior sobre muro.</t>
  </si>
  <si>
    <t>Cantos.</t>
  </si>
  <si>
    <t>Zabaleta.</t>
  </si>
  <si>
    <t>Transporte ( 1.50%)</t>
  </si>
  <si>
    <t>Imprevisto ( 10.00%)</t>
  </si>
  <si>
    <t>Codia- (decreto No. 319-88d/f 25 agosto-1988)(0.1%)</t>
  </si>
  <si>
    <t>M3C</t>
  </si>
  <si>
    <t>Bote de material sobrante.</t>
  </si>
  <si>
    <t>MUROS DE BLOQUES:</t>
  </si>
  <si>
    <t>MODULO C</t>
  </si>
  <si>
    <t>AREAS EXTERIORES</t>
  </si>
  <si>
    <t xml:space="preserve">Acrílica superior en muros interiores.(2 manos). Incluye suministro de materiales y mano de obra. </t>
  </si>
  <si>
    <t xml:space="preserve">Acrílica superior en muros exterior.(2 manos). Incluye suministro de materiales y mano de obra. </t>
  </si>
  <si>
    <t>Acrílica económica como base.</t>
  </si>
  <si>
    <t>Zabaleta (interna, dentro de nichos).</t>
  </si>
  <si>
    <t>Acera acceso y módulos (terminación lisa).</t>
  </si>
  <si>
    <t>LIMPIEZA:</t>
  </si>
  <si>
    <t>PRELIMINARES GENERALES:</t>
  </si>
  <si>
    <t>Limpieza continua y final (incluye bote).</t>
  </si>
  <si>
    <t>INSTALACIONES SANITARIAS</t>
  </si>
  <si>
    <t>Suministro y confección de argollas en tubo galvanizado de 2. Incluye mano de obra.</t>
  </si>
  <si>
    <t>Fino interior en nichos. Incluye suministros de materiales y mano de obra.</t>
  </si>
  <si>
    <t>Acero 0 3/8" grado 40 y/o 60</t>
  </si>
  <si>
    <t>Labores auxiliares</t>
  </si>
  <si>
    <t>Dirección Técnica (10.00%)</t>
  </si>
  <si>
    <t>Seguros y Fianzas (4.50%)</t>
  </si>
  <si>
    <t>Gastos Administrativos (3.00%)</t>
  </si>
  <si>
    <t>MODULO A</t>
  </si>
  <si>
    <t>MODULO B</t>
  </si>
  <si>
    <t>TERMINACION ESCALERA:</t>
  </si>
  <si>
    <t>Pañete sobre superficie de hormigón.</t>
  </si>
  <si>
    <t>Fraguache sobre superficie de muro y hormigón.</t>
  </si>
  <si>
    <t>Desagüe de grasa 2''.  Incluye suministro de materiales e instalación.</t>
  </si>
  <si>
    <r>
      <t xml:space="preserve">Pasamanos en tubos de hierro galvanizados </t>
    </r>
    <r>
      <rPr>
        <sz val="12"/>
        <rFont val="Calibri"/>
        <family val="2"/>
      </rPr>
      <t>Ø</t>
    </r>
    <r>
      <rPr>
        <sz val="12"/>
        <rFont val="Arial"/>
        <family val="2"/>
      </rPr>
      <t>1". Pasa manos-Tubo 1-1/4 (20')-e=1.6mm</t>
    </r>
  </si>
  <si>
    <t>Bloques de 4" BNP y SNPØ 3/8@ 0.60 con serpentina cada 3 líneas, con todas las cámaras llenas.</t>
  </si>
  <si>
    <t>Bloques de 6" BNP y SNPØ 3/8@ 0.60 con serpentina cada 3 líneas, con todas las cámaras llenas.</t>
  </si>
  <si>
    <t>ING. IVAN DANIEL OROZCO</t>
  </si>
  <si>
    <t>Fino de techo a mano.</t>
  </si>
  <si>
    <t>Antepecho en blocks de 6".</t>
  </si>
  <si>
    <t>Poda de árboles. Incluye traslado y bote.</t>
  </si>
  <si>
    <t xml:space="preserve">CONSTRUCCION DE NICHOS Y OSTEOTECA EN INACIF.                                                                                    </t>
  </si>
  <si>
    <t>Rampa de escalera, e= 0.15m, Hormigón 210kg/cm2 vaciado a mano.</t>
  </si>
  <si>
    <t>Muro de contención e= 0.25m, Hormigón 210 kg/cm2 industrial.</t>
  </si>
  <si>
    <t xml:space="preserve">Zabaleta. </t>
  </si>
  <si>
    <t>Zabaleta. Exterior.</t>
  </si>
  <si>
    <t>Zabaleta Exterior</t>
  </si>
  <si>
    <t>Zabaleta Exterior.</t>
  </si>
  <si>
    <t>Bajante  pluvial 3''. Incluye suministro de materiales de e instalación. L=4.20 m</t>
  </si>
  <si>
    <t>Pasamanos en muro de bloques, (h = 1.00 mts). Incluye terminaciones y pintura. Aproximadamente 4.00 m2.</t>
  </si>
  <si>
    <t>Bajante de descarga 3''. Incluye suministro de materiales e instalación. L=3.80 m</t>
  </si>
  <si>
    <t>Sistema de andamiaje y arnés.</t>
  </si>
  <si>
    <t>Confección de tapas para nichos con hormigón simple.</t>
  </si>
  <si>
    <t>Exhumación, reubicación y recuperación de restos.</t>
  </si>
  <si>
    <t>Columna de amarre (0.15x0.30) m, Hormigón 210kg/cm2 a mano.</t>
  </si>
  <si>
    <t>Bajante de descarga 3''. Incluye suministro de materiales de e instalación. L=6.50 m</t>
  </si>
  <si>
    <t>Pañete exterior sobre muro de contención.</t>
  </si>
  <si>
    <t>TERMINACION DE SUPERFICIE EN MURO DE CONTENCION:</t>
  </si>
  <si>
    <t>Suministro e instalación de puerta de una hoja batiente en tola 1.20x2.30m. Incluye cerradura. (1UD)</t>
  </si>
  <si>
    <t>Suministro e instalación de puerta corrediza en tola (2 hojas) 1.90mx2.30m. Incluye cerradura. (2UD)</t>
  </si>
  <si>
    <t>Acondicionamiento, limpieza y replanteo del terreno. Incluye brigada topográfica.</t>
  </si>
  <si>
    <t>Corte y excavación.</t>
  </si>
  <si>
    <t>Tubería PVC SDR 41 Ø3''. Incluye suministro de materiales, asiento de arena y colocación.</t>
  </si>
  <si>
    <t>Tubería PVC SDR 41 Ø4''. Incluye suministro de materiales, asiento de arena y colocación.</t>
  </si>
  <si>
    <t>Tubería PVC SDR 41 Ø6''. Incluye suministro de materiales, asiento de arena y colocación.</t>
  </si>
  <si>
    <t>Tapón Registro Ø3''. Incluye suministro de materiales y mano de obra.</t>
  </si>
  <si>
    <t>Canaleta en hormigón simple 0.20x0.20 m. Incluye suministro de materiales y mano de obra.</t>
  </si>
  <si>
    <r>
      <rPr>
        <sz val="12"/>
        <color theme="1"/>
        <rFont val="Arial"/>
        <family val="2"/>
      </rPr>
      <t>Trampa de grasa (1.50x2.50x2.20 m)</t>
    </r>
    <r>
      <rPr>
        <sz val="12"/>
        <rFont val="Arial"/>
        <family val="2"/>
      </rPr>
      <t>. Incluye suministro de materiales y mano de obra. (Tapón registro, columna de limpieza Ø6'', zabaleta perimetral, fino de piso, pañete liso interior y demás especificaciones según plano).</t>
    </r>
  </si>
  <si>
    <t>LOCALIZACION : LOS CASABES, VILLA MELLA, SANTO DOMINGO NORTE</t>
  </si>
  <si>
    <t xml:space="preserve">                           DEPARTAMENTO DE INGENIERIA Y ARQUITECTURA</t>
  </si>
  <si>
    <t>Relleno granular compactado. Incluye suministro de materiales y mano de obra.</t>
  </si>
  <si>
    <t>Platea de fundación e= 0.15m, Hormigón 210 kg/cm2 industrial . Incluye guarderas</t>
  </si>
  <si>
    <t>Zapata de muro (0.45x0.15) m, Hormigón 210kg/cm2 industrial.</t>
  </si>
  <si>
    <t>Zapata de escalera (0.80x0.30) m, Hormigón 210kg/cm2 industrial</t>
  </si>
  <si>
    <t>Losa e= 0.10m, Hormigón 210kg/cm2 industrial</t>
  </si>
  <si>
    <t>Pañete rústico interior sobre muro.</t>
  </si>
  <si>
    <t>PINTURA ( 2 MANOS):</t>
  </si>
  <si>
    <t>Impermeabilizante de lona asfáltica 3mm en techo.</t>
  </si>
  <si>
    <t xml:space="preserve">Fino de techo </t>
  </si>
  <si>
    <t>Suministro y confección de argollas en tubo galvanizado de Ø2. Incluye mano de obra.</t>
  </si>
  <si>
    <t>Losa e= 0.10m, Hormigón 210kg/cm2 vaciado industrial.</t>
  </si>
  <si>
    <t>Zapata de muro (0.45x0.15) m, Hormigón 210kg/cm2 industrial</t>
  </si>
  <si>
    <t>Escalones en cemento rústico.</t>
  </si>
  <si>
    <t>Descanso en cemento rústico.</t>
  </si>
  <si>
    <t>Escalones de cemento lisos en escalera. (Ubicados entre Módulo A y B).</t>
  </si>
  <si>
    <t>TERMINACION DE PISO:</t>
  </si>
  <si>
    <t>Confección de Cruz en alto relieve, (perímetro aproximado 9.90 metros). Incluye suministro de materiales y mano de obra. También incluye pintura.</t>
  </si>
  <si>
    <t>Gotero de ranura.</t>
  </si>
  <si>
    <t>Relleno granular compactado en vía de acceso a la obra. Incluye suministro de materiales y mano de obra.</t>
  </si>
  <si>
    <t>Hormigón de nivelación 120 kg/cm2 vaciado a mano, e=0.05 m.</t>
  </si>
  <si>
    <t>Impermeabilizante acrílico elastométrico en piso de nichos. Resiste el moho.</t>
  </si>
  <si>
    <t>Losa e= 0.10m, Hormigón 210kg/cm2 industrial. Incluye descanso escalera</t>
  </si>
  <si>
    <t>ENC. DEPARTAMENTO DE INGENIERIA Y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</si>
</sst>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7" formatCode="#,##0.00\ &quot;€&quot;;\-#,##0.00\ &quot;€&quot;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;\-&quot;$&quot;#,##0.00"/>
    <numFmt numFmtId="170" formatCode="_(* #,##0.000_);_(* \(#,##0.000\);_(* &quot;-&quot;??_);_(@_)"/>
    <numFmt numFmtId="171" formatCode="#,##0.000_);\(#,##0.000\)"/>
    <numFmt numFmtId="172" formatCode="0.000"/>
    <numFmt numFmtId="173" formatCode="#,##0.000"/>
    <numFmt numFmtId="174" formatCode="_([$€-2]* #,##0.00_);_([$€-2]* \(#,##0.00\);_([$€-2]* &quot;-&quot;??_)"/>
    <numFmt numFmtId="175" formatCode="#,##0.0000"/>
    <numFmt numFmtId="176" formatCode="_(&quot;RD$&quot;* #,##0.00_);_(&quot;RD$&quot;* \(#,##0.00\);_(&quot;RD$&quot;* \-??_);_(@_)"/>
    <numFmt numFmtId="177" formatCode="0.00&quot; m²&quot;"/>
    <numFmt numFmtId="178" formatCode="0.00&quot; pie²&quot;"/>
    <numFmt numFmtId="179" formatCode="[$$-409]#,##0.00"/>
    <numFmt numFmtId="180" formatCode="[$$-2C0A]\ #,##0.00;[$$-2C0A]\ \-#,##0.00"/>
    <numFmt numFmtId="181" formatCode="0.0"/>
    <numFmt numFmtId="182" formatCode="#,##0.00\ ;&quot; (&quot;#,##0.00\);&quot; -&quot;#\ ;@\ "/>
    <numFmt numFmtId="183" formatCode="#,##0.000\ ;\-#,##0.000\ ;&quot; -&quot;#\ ;@\ "/>
    <numFmt numFmtId="184" formatCode="&quot;RD$&quot;#,##0.00"/>
    <numFmt numFmtId="185" formatCode="_(* #,##0.00_);_(* \(#,##0.00\);_(* \-??_);_(@_)"/>
    <numFmt numFmtId="186" formatCode="_(* #,##0.0000_);_(* \(#,##0.0000\);_(* &quot;-&quot;??_);_(@_)"/>
    <numFmt numFmtId="187" formatCode="_-* #,##0.00\ &quot;Pts&quot;_-;\-* #,##0.00\ &quot;Pts&quot;_-;_-* &quot;-&quot;??\ &quot;Pts&quot;_-;_-@_-"/>
    <numFmt numFmtId="188" formatCode="0.00_)"/>
    <numFmt numFmtId="189" formatCode="_([$€]* #,##0.00_);_([$€]* \(#,##0.00\);_([$€]* &quot;-&quot;??_);_(@_)"/>
    <numFmt numFmtId="190" formatCode="_-* #,##0.00\ _p_t_a_-;\-* #,##0.00\ _p_t_a_-;_-* &quot;-&quot;??\ _p_t_a_-;_-@_-"/>
    <numFmt numFmtId="191" formatCode="0&quot;.-&quot;"/>
    <numFmt numFmtId="192" formatCode="#,##0.00&quot; pta &quot;;\-#,##0.00&quot; pta &quot;;&quot; -&quot;#&quot; pta &quot;;@\ "/>
    <numFmt numFmtId="193" formatCode="#,##0.000000000"/>
    <numFmt numFmtId="194" formatCode="_(&quot;RD$&quot;* #,##0.00_);_(&quot;RD$&quot;* \(#,##0.00\);_(&quot;RD$&quot;* &quot;-&quot;??_);_(@_)"/>
    <numFmt numFmtId="195" formatCode="_-* #,##0.00\ _P_t_s_-;\-* #,##0.00\ _P_t_s_-;_-* &quot;-&quot;??\ _P_t_s_-;_-@_-"/>
    <numFmt numFmtId="196" formatCode="0.0000"/>
    <numFmt numFmtId="197" formatCode="0.00000"/>
    <numFmt numFmtId="198" formatCode="0_)"/>
    <numFmt numFmtId="199" formatCode="_-* #,##0.00\ _€_-;\-* #,##0.00\ _€_-;_-* &quot;-&quot;??\ _€_-;_-@_-"/>
    <numFmt numFmtId="200" formatCode="_-* #,##0.0000_-;\-* #,##0.0000_-;_-* &quot;-&quot;??_-;_-@_-"/>
    <numFmt numFmtId="201" formatCode="#,##0.0000_);\(#,##0.0000\)"/>
    <numFmt numFmtId="202" formatCode="&quot;$&quot;#,##0;\-&quot;$&quot;#,##0"/>
    <numFmt numFmtId="203" formatCode="_-&quot;RD$&quot;* #,##0.00_-;\-&quot;RD$&quot;* #,##0.00_-;_-&quot;RD$&quot;* &quot;-&quot;??_-;_-@_-"/>
    <numFmt numFmtId="204" formatCode="_-&quot;$&quot;* #,##0.00_-;\-&quot;$&quot;* #,##0.00_-;_-&quot;$&quot;* &quot;-&quot;??_-;_-@_-"/>
    <numFmt numFmtId="205" formatCode="#,##0.00\ _€"/>
    <numFmt numFmtId="206" formatCode="#,##0.00\ &quot;/m3&quot;"/>
    <numFmt numFmtId="207" formatCode="&quot; &quot;#,##0.00&quot; &quot;;&quot; (&quot;#,##0.00&quot;)&quot;;&quot; -&quot;#&quot; &quot;;&quot; &quot;@&quot; &quot;"/>
    <numFmt numFmtId="208" formatCode="[$-409]General"/>
    <numFmt numFmtId="209" formatCode="#."/>
    <numFmt numFmtId="210" formatCode="#,##0.00\ &quot;M³S&quot;"/>
    <numFmt numFmtId="211" formatCode="_(* #,##0\ &quot;pta&quot;_);_(* \(#,##0\ &quot;pta&quot;\);_(* &quot;-&quot;??\ &quot;pta&quot;_);_(@_)"/>
    <numFmt numFmtId="212" formatCode="_ &quot;$&quot;\ * #,##0.00_ ;_ &quot;$&quot;\ * \-#,##0.00_ ;_ &quot;$&quot;\ * &quot;-&quot;??_ ;_ @_ "/>
  </numFmts>
  <fonts count="1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MS Sans Serif"/>
      <family val="2"/>
    </font>
    <font>
      <sz val="10"/>
      <name val="Wingdings"/>
      <charset val="2"/>
    </font>
    <font>
      <b/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0"/>
      <name val="Courier New"/>
      <family val="3"/>
    </font>
    <font>
      <b/>
      <sz val="14"/>
      <name val="Courier New"/>
      <family val="3"/>
    </font>
    <font>
      <sz val="12"/>
      <name val="Calibri"/>
      <family val="2"/>
    </font>
    <font>
      <sz val="11.5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sz val="9"/>
      <color rgb="FF000000"/>
      <name val="Segoe UI"/>
      <family val="2"/>
    </font>
    <font>
      <sz val="12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ourier"/>
    </font>
    <font>
      <b/>
      <i/>
      <sz val="16"/>
      <name val="Helv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rgb="FF000000"/>
      <name val="Segoe UI"/>
      <family val="2"/>
    </font>
    <font>
      <i/>
      <sz val="12"/>
      <name val="Arial"/>
      <family val="2"/>
    </font>
    <font>
      <b/>
      <sz val="14"/>
      <name val="Segoe UI"/>
      <family val="2"/>
    </font>
    <font>
      <sz val="14"/>
      <name val="Segoe UI"/>
      <family val="2"/>
    </font>
    <font>
      <sz val="14"/>
      <color rgb="FF000000"/>
      <name val="Segoe U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5"/>
      <color indexed="56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1"/>
      <color indexed="10"/>
      <name val="Calibri"/>
      <family val="2"/>
    </font>
    <font>
      <sz val="10"/>
      <color theme="1"/>
      <name val="Arial1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8"/>
      <name val="Helvetica Neue"/>
      <charset val="1"/>
    </font>
    <font>
      <u/>
      <sz val="10"/>
      <color theme="10"/>
      <name val="Times New Roman"/>
      <family val="1"/>
    </font>
    <font>
      <b/>
      <sz val="9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50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lightUp">
        <fgColor indexed="9"/>
        <b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689">
    <xf numFmtId="0" fontId="0" fillId="0" borderId="0"/>
    <xf numFmtId="0" fontId="27" fillId="4" borderId="1" applyNumberFormat="0" applyAlignment="0" applyProtection="0"/>
    <xf numFmtId="168" fontId="2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174" fontId="25" fillId="0" borderId="0" applyFont="0" applyFill="0" applyBorder="0" applyAlignment="0" applyProtection="0"/>
    <xf numFmtId="0" fontId="34" fillId="19" borderId="0" applyNumberFormat="0" applyBorder="0" applyAlignment="0" applyProtection="0"/>
    <xf numFmtId="168" fontId="20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35" fillId="20" borderId="0" applyNumberFormat="0" applyBorder="0" applyAlignment="0" applyProtection="0"/>
    <xf numFmtId="0" fontId="25" fillId="0" borderId="0"/>
    <xf numFmtId="0" fontId="25" fillId="0" borderId="0"/>
    <xf numFmtId="0" fontId="20" fillId="0" borderId="0"/>
    <xf numFmtId="0" fontId="44" fillId="0" borderId="0"/>
    <xf numFmtId="0" fontId="20" fillId="0" borderId="0"/>
    <xf numFmtId="0" fontId="46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6" fillId="4" borderId="4" applyNumberFormat="0" applyAlignment="0" applyProtection="0"/>
    <xf numFmtId="0" fontId="39" fillId="0" borderId="5" applyNumberFormat="0" applyFill="0" applyAlignment="0" applyProtection="0"/>
    <xf numFmtId="0" fontId="2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0" fillId="0" borderId="0"/>
    <xf numFmtId="176" fontId="47" fillId="0" borderId="0" applyFill="0" applyBorder="0" applyAlignment="0" applyProtection="0"/>
    <xf numFmtId="0" fontId="48" fillId="0" borderId="0"/>
    <xf numFmtId="167" fontId="20" fillId="0" borderId="0" applyFont="0" applyFill="0" applyBorder="0" applyAlignment="0" applyProtection="0"/>
    <xf numFmtId="0" fontId="20" fillId="0" borderId="0"/>
    <xf numFmtId="0" fontId="52" fillId="0" borderId="0"/>
    <xf numFmtId="168" fontId="20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20" fillId="0" borderId="0" applyFill="0" applyBorder="0" applyAlignment="0" applyProtection="0"/>
    <xf numFmtId="167" fontId="18" fillId="0" borderId="0" applyFont="0" applyFill="0" applyBorder="0" applyAlignment="0" applyProtection="0"/>
    <xf numFmtId="0" fontId="17" fillId="0" borderId="0"/>
    <xf numFmtId="185" fontId="20" fillId="0" borderId="0" applyFill="0" applyBorder="0" applyAlignment="0" applyProtection="0"/>
    <xf numFmtId="0" fontId="16" fillId="0" borderId="0"/>
    <xf numFmtId="0" fontId="15" fillId="0" borderId="0"/>
    <xf numFmtId="168" fontId="74" fillId="0" borderId="0" applyFont="0" applyFill="0" applyBorder="0" applyAlignment="0" applyProtection="0"/>
    <xf numFmtId="0" fontId="74" fillId="0" borderId="0"/>
    <xf numFmtId="0" fontId="14" fillId="0" borderId="0"/>
    <xf numFmtId="182" fontId="20" fillId="0" borderId="0" applyFill="0" applyBorder="0" applyAlignment="0" applyProtection="0"/>
    <xf numFmtId="0" fontId="13" fillId="0" borderId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1" fillId="40" borderId="0" applyNumberFormat="0" applyBorder="0" applyAlignment="0" applyProtection="0"/>
    <xf numFmtId="0" fontId="31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19" fillId="49" borderId="0" applyNumberFormat="0" applyBorder="0" applyAlignment="0" applyProtection="0"/>
    <xf numFmtId="0" fontId="19" fillId="36" borderId="0" applyNumberFormat="0" applyBorder="0" applyAlignment="0" applyProtection="0"/>
    <xf numFmtId="0" fontId="31" fillId="50" borderId="0" applyNumberFormat="0" applyBorder="0" applyAlignment="0" applyProtection="0"/>
    <xf numFmtId="0" fontId="31" fillId="53" borderId="0" applyNumberFormat="0" applyBorder="0" applyAlignment="0" applyProtection="0"/>
    <xf numFmtId="0" fontId="19" fillId="34" borderId="0" applyNumberFormat="0" applyBorder="0" applyAlignment="0" applyProtection="0"/>
    <xf numFmtId="0" fontId="1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4" borderId="0" applyNumberFormat="0" applyBorder="0" applyAlignment="0" applyProtection="0"/>
    <xf numFmtId="0" fontId="19" fillId="38" borderId="0" applyNumberFormat="0" applyBorder="0" applyAlignment="0" applyProtection="0"/>
    <xf numFmtId="0" fontId="19" fillId="34" borderId="0" applyNumberFormat="0" applyBorder="0" applyAlignment="0" applyProtection="0"/>
    <xf numFmtId="0" fontId="31" fillId="40" borderId="0" applyNumberFormat="0" applyBorder="0" applyAlignment="0" applyProtection="0"/>
    <xf numFmtId="0" fontId="31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6" borderId="0" applyNumberFormat="0" applyBorder="0" applyAlignment="0" applyProtection="0"/>
    <xf numFmtId="0" fontId="83" fillId="50" borderId="66" applyNumberFormat="0" applyAlignment="0" applyProtection="0"/>
    <xf numFmtId="0" fontId="28" fillId="51" borderId="2" applyNumberFormat="0" applyAlignment="0" applyProtection="0"/>
    <xf numFmtId="0" fontId="84" fillId="0" borderId="3" applyNumberFormat="0" applyFill="0" applyAlignment="0" applyProtection="0"/>
    <xf numFmtId="168" fontId="20" fillId="0" borderId="0" applyFont="0" applyFill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85" fillId="0" borderId="0" applyNumberFormat="0" applyFill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63" borderId="0" applyNumberFormat="0" applyBorder="0" applyAlignment="0" applyProtection="0"/>
    <xf numFmtId="0" fontId="33" fillId="39" borderId="66" applyNumberFormat="0" applyAlignment="0" applyProtection="0"/>
    <xf numFmtId="189" fontId="8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5" borderId="0" applyNumberFormat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68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90" fontId="20" fillId="0" borderId="0" applyFill="0" applyBorder="0" applyAlignment="0" applyProtection="0"/>
    <xf numFmtId="190" fontId="20" fillId="0" borderId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191" fontId="20" fillId="0" borderId="0" applyFill="0" applyBorder="0" applyAlignment="0" applyProtection="0"/>
    <xf numFmtId="43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20" fillId="0" borderId="0" applyFill="0" applyBorder="0" applyAlignment="0" applyProtection="0"/>
    <xf numFmtId="192" fontId="20" fillId="0" borderId="0" applyFill="0" applyBorder="0" applyAlignment="0" applyProtection="0"/>
    <xf numFmtId="176" fontId="20" fillId="0" borderId="0" applyFill="0" applyBorder="0" applyAlignment="0" applyProtection="0"/>
    <xf numFmtId="192" fontId="20" fillId="0" borderId="0" applyFill="0" applyBorder="0" applyAlignment="0" applyProtection="0"/>
    <xf numFmtId="0" fontId="35" fillId="64" borderId="0" applyNumberFormat="0" applyBorder="0" applyAlignment="0" applyProtection="0"/>
    <xf numFmtId="0" fontId="88" fillId="0" borderId="0"/>
    <xf numFmtId="188" fontId="89" fillId="0" borderId="0"/>
    <xf numFmtId="0" fontId="82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20" fillId="49" borderId="67" applyNumberFormat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36" fillId="50" borderId="68" applyNumberFormat="0" applyAlignment="0" applyProtection="0"/>
    <xf numFmtId="0" fontId="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85" fillId="0" borderId="69" applyNumberFormat="0" applyFill="0" applyAlignment="0" applyProtection="0"/>
    <xf numFmtId="0" fontId="30" fillId="0" borderId="70" applyNumberFormat="0" applyFill="0" applyAlignment="0" applyProtection="0"/>
    <xf numFmtId="167" fontId="96" fillId="0" borderId="0" applyFont="0" applyFill="0" applyBorder="0" applyAlignment="0" applyProtection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94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6" fillId="2" borderId="0" applyNumberFormat="0" applyBorder="0" applyAlignment="0" applyProtection="0"/>
    <xf numFmtId="0" fontId="28" fillId="68" borderId="75" applyNumberFormat="0" applyAlignment="0" applyProtection="0"/>
    <xf numFmtId="196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3" fillId="67" borderId="74" applyNumberFormat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69" borderId="76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2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67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72" borderId="0" applyNumberFormat="0" applyBorder="0" applyAlignment="0" applyProtection="0"/>
    <xf numFmtId="0" fontId="19" fillId="74" borderId="0" applyNumberFormat="0" applyBorder="0" applyAlignment="0" applyProtection="0"/>
    <xf numFmtId="0" fontId="19" fillId="77" borderId="0" applyNumberFormat="0" applyBorder="0" applyAlignment="0" applyProtection="0"/>
    <xf numFmtId="0" fontId="31" fillId="78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79" borderId="0" applyNumberFormat="0" applyBorder="0" applyAlignment="0" applyProtection="0"/>
    <xf numFmtId="0" fontId="31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87" fillId="71" borderId="0" applyNumberFormat="0" applyBorder="0" applyAlignment="0" applyProtection="0"/>
    <xf numFmtId="0" fontId="83" fillId="80" borderId="74" applyNumberFormat="0" applyAlignment="0" applyProtection="0"/>
    <xf numFmtId="0" fontId="28" fillId="68" borderId="75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2" borderId="0" applyNumberFormat="0" applyBorder="0" applyAlignment="0" applyProtection="0"/>
    <xf numFmtId="0" fontId="104" fillId="0" borderId="77" applyNumberFormat="0" applyFill="0" applyAlignment="0" applyProtection="0"/>
    <xf numFmtId="0" fontId="91" fillId="0" borderId="5" applyNumberFormat="0" applyFill="0" applyAlignment="0" applyProtection="0"/>
    <xf numFmtId="0" fontId="85" fillId="0" borderId="69" applyNumberFormat="0" applyFill="0" applyAlignment="0" applyProtection="0"/>
    <xf numFmtId="0" fontId="85" fillId="0" borderId="0" applyNumberFormat="0" applyFill="0" applyBorder="0" applyAlignment="0" applyProtection="0"/>
    <xf numFmtId="0" fontId="33" fillId="67" borderId="74" applyNumberFormat="0" applyAlignment="0" applyProtection="0"/>
    <xf numFmtId="0" fontId="84" fillId="0" borderId="3" applyNumberFormat="0" applyFill="0" applyAlignment="0" applyProtection="0"/>
    <xf numFmtId="168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20" fillId="69" borderId="76" applyNumberFormat="0" applyFont="0" applyAlignment="0" applyProtection="0"/>
    <xf numFmtId="0" fontId="36" fillId="80" borderId="78" applyNumberFormat="0" applyAlignment="0" applyProtection="0"/>
    <xf numFmtId="0" fontId="37" fillId="0" borderId="0" applyNumberFormat="0" applyFill="0" applyBorder="0" applyAlignment="0" applyProtection="0"/>
    <xf numFmtId="19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9" fillId="0" borderId="0"/>
    <xf numFmtId="0" fontId="9" fillId="0" borderId="0"/>
    <xf numFmtId="0" fontId="19" fillId="0" borderId="0"/>
    <xf numFmtId="0" fontId="48" fillId="0" borderId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9" fillId="0" borderId="0"/>
    <xf numFmtId="0" fontId="9" fillId="0" borderId="0"/>
    <xf numFmtId="0" fontId="20" fillId="69" borderId="76" applyNumberFormat="0" applyFont="0" applyAlignment="0" applyProtection="0"/>
    <xf numFmtId="0" fontId="20" fillId="69" borderId="76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179" fontId="20" fillId="0" borderId="0"/>
    <xf numFmtId="168" fontId="20" fillId="0" borderId="0" applyFont="0" applyFill="0" applyBorder="0" applyAlignment="0" applyProtection="0"/>
    <xf numFmtId="0" fontId="9" fillId="0" borderId="0"/>
    <xf numFmtId="0" fontId="48" fillId="0" borderId="0"/>
    <xf numFmtId="179" fontId="19" fillId="74" borderId="0" applyNumberFormat="0" applyBorder="0" applyAlignment="0" applyProtection="0"/>
    <xf numFmtId="179" fontId="19" fillId="74" borderId="0" applyNumberFormat="0" applyBorder="0" applyAlignment="0" applyProtection="0"/>
    <xf numFmtId="179" fontId="19" fillId="74" borderId="0" applyNumberFormat="0" applyBorder="0" applyAlignment="0" applyProtection="0"/>
    <xf numFmtId="179" fontId="19" fillId="75" borderId="0" applyNumberFormat="0" applyBorder="0" applyAlignment="0" applyProtection="0"/>
    <xf numFmtId="179" fontId="19" fillId="75" borderId="0" applyNumberFormat="0" applyBorder="0" applyAlignment="0" applyProtection="0"/>
    <xf numFmtId="179" fontId="19" fillId="75" borderId="0" applyNumberFormat="0" applyBorder="0" applyAlignment="0" applyProtection="0"/>
    <xf numFmtId="179" fontId="19" fillId="69" borderId="0" applyNumberFormat="0" applyBorder="0" applyAlignment="0" applyProtection="0"/>
    <xf numFmtId="179" fontId="19" fillId="69" borderId="0" applyNumberFormat="0" applyBorder="0" applyAlignment="0" applyProtection="0"/>
    <xf numFmtId="179" fontId="19" fillId="69" borderId="0" applyNumberFormat="0" applyBorder="0" applyAlignment="0" applyProtection="0"/>
    <xf numFmtId="179" fontId="19" fillId="67" borderId="0" applyNumberFormat="0" applyBorder="0" applyAlignment="0" applyProtection="0"/>
    <xf numFmtId="179" fontId="19" fillId="67" borderId="0" applyNumberFormat="0" applyBorder="0" applyAlignment="0" applyProtection="0"/>
    <xf numFmtId="179" fontId="19" fillId="67" borderId="0" applyNumberFormat="0" applyBorder="0" applyAlignment="0" applyProtection="0"/>
    <xf numFmtId="179" fontId="19" fillId="73" borderId="0" applyNumberFormat="0" applyBorder="0" applyAlignment="0" applyProtection="0"/>
    <xf numFmtId="179" fontId="19" fillId="73" borderId="0" applyNumberFormat="0" applyBorder="0" applyAlignment="0" applyProtection="0"/>
    <xf numFmtId="179" fontId="19" fillId="73" borderId="0" applyNumberFormat="0" applyBorder="0" applyAlignment="0" applyProtection="0"/>
    <xf numFmtId="179" fontId="19" fillId="69" borderId="0" applyNumberFormat="0" applyBorder="0" applyAlignment="0" applyProtection="0"/>
    <xf numFmtId="179" fontId="19" fillId="69" borderId="0" applyNumberFormat="0" applyBorder="0" applyAlignment="0" applyProtection="0"/>
    <xf numFmtId="179" fontId="19" fillId="69" borderId="0" applyNumberFormat="0" applyBorder="0" applyAlignment="0" applyProtection="0"/>
    <xf numFmtId="179" fontId="19" fillId="73" borderId="0" applyNumberFormat="0" applyBorder="0" applyAlignment="0" applyProtection="0"/>
    <xf numFmtId="179" fontId="19" fillId="73" borderId="0" applyNumberFormat="0" applyBorder="0" applyAlignment="0" applyProtection="0"/>
    <xf numFmtId="179" fontId="19" fillId="73" borderId="0" applyNumberFormat="0" applyBorder="0" applyAlignment="0" applyProtection="0"/>
    <xf numFmtId="179" fontId="19" fillId="75" borderId="0" applyNumberFormat="0" applyBorder="0" applyAlignment="0" applyProtection="0"/>
    <xf numFmtId="179" fontId="19" fillId="75" borderId="0" applyNumberFormat="0" applyBorder="0" applyAlignment="0" applyProtection="0"/>
    <xf numFmtId="179" fontId="19" fillId="75" borderId="0" applyNumberFormat="0" applyBorder="0" applyAlignment="0" applyProtection="0"/>
    <xf numFmtId="179" fontId="19" fillId="81" borderId="0" applyNumberFormat="0" applyBorder="0" applyAlignment="0" applyProtection="0"/>
    <xf numFmtId="179" fontId="19" fillId="81" borderId="0" applyNumberFormat="0" applyBorder="0" applyAlignment="0" applyProtection="0"/>
    <xf numFmtId="179" fontId="19" fillId="81" borderId="0" applyNumberFormat="0" applyBorder="0" applyAlignment="0" applyProtection="0"/>
    <xf numFmtId="179" fontId="19" fillId="71" borderId="0" applyNumberFormat="0" applyBorder="0" applyAlignment="0" applyProtection="0"/>
    <xf numFmtId="179" fontId="19" fillId="71" borderId="0" applyNumberFormat="0" applyBorder="0" applyAlignment="0" applyProtection="0"/>
    <xf numFmtId="179" fontId="19" fillId="71" borderId="0" applyNumberFormat="0" applyBorder="0" applyAlignment="0" applyProtection="0"/>
    <xf numFmtId="179" fontId="19" fillId="73" borderId="0" applyNumberFormat="0" applyBorder="0" applyAlignment="0" applyProtection="0"/>
    <xf numFmtId="179" fontId="19" fillId="73" borderId="0" applyNumberFormat="0" applyBorder="0" applyAlignment="0" applyProtection="0"/>
    <xf numFmtId="179" fontId="19" fillId="73" borderId="0" applyNumberFormat="0" applyBorder="0" applyAlignment="0" applyProtection="0"/>
    <xf numFmtId="179" fontId="19" fillId="69" borderId="0" applyNumberFormat="0" applyBorder="0" applyAlignment="0" applyProtection="0"/>
    <xf numFmtId="179" fontId="19" fillId="69" borderId="0" applyNumberFormat="0" applyBorder="0" applyAlignment="0" applyProtection="0"/>
    <xf numFmtId="179" fontId="19" fillId="69" borderId="0" applyNumberFormat="0" applyBorder="0" applyAlignment="0" applyProtection="0"/>
    <xf numFmtId="179" fontId="31" fillId="73" borderId="0" applyNumberFormat="0" applyBorder="0" applyAlignment="0" applyProtection="0"/>
    <xf numFmtId="179" fontId="31" fillId="73" borderId="0" applyNumberFormat="0" applyBorder="0" applyAlignment="0" applyProtection="0"/>
    <xf numFmtId="179" fontId="31" fillId="73" borderId="0" applyNumberFormat="0" applyBorder="0" applyAlignment="0" applyProtection="0"/>
    <xf numFmtId="179" fontId="31" fillId="56" borderId="0" applyNumberFormat="0" applyBorder="0" applyAlignment="0" applyProtection="0"/>
    <xf numFmtId="179" fontId="31" fillId="56" borderId="0" applyNumberFormat="0" applyBorder="0" applyAlignment="0" applyProtection="0"/>
    <xf numFmtId="179" fontId="31" fillId="56" borderId="0" applyNumberFormat="0" applyBorder="0" applyAlignment="0" applyProtection="0"/>
    <xf numFmtId="179" fontId="31" fillId="77" borderId="0" applyNumberFormat="0" applyBorder="0" applyAlignment="0" applyProtection="0"/>
    <xf numFmtId="179" fontId="31" fillId="77" borderId="0" applyNumberFormat="0" applyBorder="0" applyAlignment="0" applyProtection="0"/>
    <xf numFmtId="179" fontId="31" fillId="77" borderId="0" applyNumberFormat="0" applyBorder="0" applyAlignment="0" applyProtection="0"/>
    <xf numFmtId="179" fontId="31" fillId="71" borderId="0" applyNumberFormat="0" applyBorder="0" applyAlignment="0" applyProtection="0"/>
    <xf numFmtId="179" fontId="31" fillId="71" borderId="0" applyNumberFormat="0" applyBorder="0" applyAlignment="0" applyProtection="0"/>
    <xf numFmtId="179" fontId="31" fillId="71" borderId="0" applyNumberFormat="0" applyBorder="0" applyAlignment="0" applyProtection="0"/>
    <xf numFmtId="179" fontId="31" fillId="73" borderId="0" applyNumberFormat="0" applyBorder="0" applyAlignment="0" applyProtection="0"/>
    <xf numFmtId="179" fontId="31" fillId="73" borderId="0" applyNumberFormat="0" applyBorder="0" applyAlignment="0" applyProtection="0"/>
    <xf numFmtId="179" fontId="31" fillId="73" borderId="0" applyNumberFormat="0" applyBorder="0" applyAlignment="0" applyProtection="0"/>
    <xf numFmtId="179" fontId="31" fillId="75" borderId="0" applyNumberFormat="0" applyBorder="0" applyAlignment="0" applyProtection="0"/>
    <xf numFmtId="179" fontId="31" fillId="75" borderId="0" applyNumberFormat="0" applyBorder="0" applyAlignment="0" applyProtection="0"/>
    <xf numFmtId="179" fontId="31" fillId="75" borderId="0" applyNumberFormat="0" applyBorder="0" applyAlignment="0" applyProtection="0"/>
    <xf numFmtId="0" fontId="105" fillId="18" borderId="0" applyNumberFormat="0" applyBorder="0" applyAlignment="0" applyProtection="0"/>
    <xf numFmtId="0" fontId="105" fillId="11" borderId="0" applyNumberFormat="0" applyBorder="0" applyAlignment="0" applyProtection="0"/>
    <xf numFmtId="0" fontId="107" fillId="16" borderId="0" applyNumberFormat="0" applyBorder="0" applyAlignment="0" applyProtection="0"/>
    <xf numFmtId="0" fontId="105" fillId="18" borderId="0" applyNumberFormat="0" applyBorder="0" applyAlignment="0" applyProtection="0"/>
    <xf numFmtId="0" fontId="105" fillId="14" borderId="0" applyNumberFormat="0" applyBorder="0" applyAlignment="0" applyProtection="0"/>
    <xf numFmtId="0" fontId="107" fillId="5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7" fillId="14" borderId="0" applyNumberFormat="0" applyBorder="0" applyAlignment="0" applyProtection="0"/>
    <xf numFmtId="0" fontId="105" fillId="18" borderId="0" applyNumberFormat="0" applyBorder="0" applyAlignment="0" applyProtection="0"/>
    <xf numFmtId="0" fontId="105" fillId="14" borderId="0" applyNumberFormat="0" applyBorder="0" applyAlignment="0" applyProtection="0"/>
    <xf numFmtId="0" fontId="107" fillId="19" borderId="0" applyNumberFormat="0" applyBorder="0" applyAlignment="0" applyProtection="0"/>
    <xf numFmtId="0" fontId="105" fillId="18" borderId="0" applyNumberFormat="0" applyBorder="0" applyAlignment="0" applyProtection="0"/>
    <xf numFmtId="0" fontId="105" fillId="16" borderId="0" applyNumberFormat="0" applyBorder="0" applyAlignment="0" applyProtection="0"/>
    <xf numFmtId="0" fontId="107" fillId="16" borderId="0" applyNumberFormat="0" applyBorder="0" applyAlignment="0" applyProtection="0"/>
    <xf numFmtId="0" fontId="105" fillId="18" borderId="0" applyNumberFormat="0" applyBorder="0" applyAlignment="0" applyProtection="0"/>
    <xf numFmtId="0" fontId="105" fillId="13" borderId="0" applyNumberFormat="0" applyBorder="0" applyAlignment="0" applyProtection="0"/>
    <xf numFmtId="0" fontId="107" fillId="20" borderId="0" applyNumberFormat="0" applyBorder="0" applyAlignment="0" applyProtection="0"/>
    <xf numFmtId="179" fontId="26" fillId="73" borderId="0" applyNumberFormat="0" applyBorder="0" applyAlignment="0" applyProtection="0"/>
    <xf numFmtId="179" fontId="26" fillId="73" borderId="0" applyNumberFormat="0" applyBorder="0" applyAlignment="0" applyProtection="0"/>
    <xf numFmtId="179" fontId="26" fillId="73" borderId="0" applyNumberFormat="0" applyBorder="0" applyAlignment="0" applyProtection="0"/>
    <xf numFmtId="179" fontId="108" fillId="82" borderId="74" applyNumberFormat="0" applyAlignment="0" applyProtection="0"/>
    <xf numFmtId="179" fontId="108" fillId="82" borderId="74" applyNumberFormat="0" applyAlignment="0" applyProtection="0"/>
    <xf numFmtId="179" fontId="108" fillId="82" borderId="74" applyNumberFormat="0" applyAlignment="0" applyProtection="0"/>
    <xf numFmtId="179" fontId="28" fillId="68" borderId="75" applyNumberFormat="0" applyAlignment="0" applyProtection="0"/>
    <xf numFmtId="179" fontId="28" fillId="68" borderId="75" applyNumberFormat="0" applyAlignment="0" applyProtection="0"/>
    <xf numFmtId="179" fontId="28" fillId="68" borderId="75" applyNumberFormat="0" applyAlignment="0" applyProtection="0"/>
    <xf numFmtId="179" fontId="37" fillId="0" borderId="79" applyNumberFormat="0" applyFill="0" applyAlignment="0" applyProtection="0"/>
    <xf numFmtId="179" fontId="37" fillId="0" borderId="79" applyNumberFormat="0" applyFill="0" applyAlignment="0" applyProtection="0"/>
    <xf numFmtId="179" fontId="37" fillId="0" borderId="79" applyNumberFormat="0" applyFill="0" applyAlignment="0" applyProtection="0"/>
    <xf numFmtId="198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06" fillId="6" borderId="0" applyNumberFormat="0" applyBorder="0" applyAlignment="0" applyProtection="0"/>
    <xf numFmtId="0" fontId="106" fillId="83" borderId="0" applyNumberFormat="0" applyBorder="0" applyAlignment="0" applyProtection="0"/>
    <xf numFmtId="0" fontId="106" fillId="8" borderId="0" applyNumberFormat="0" applyBorder="0" applyAlignment="0" applyProtection="0"/>
    <xf numFmtId="179" fontId="29" fillId="0" borderId="0" applyNumberFormat="0" applyFill="0" applyBorder="0" applyAlignment="0" applyProtection="0"/>
    <xf numFmtId="179" fontId="29" fillId="0" borderId="0" applyNumberFormat="0" applyFill="0" applyBorder="0" applyAlignment="0" applyProtection="0"/>
    <xf numFmtId="179" fontId="29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9" fontId="31" fillId="84" borderId="0" applyNumberFormat="0" applyBorder="0" applyAlignment="0" applyProtection="0"/>
    <xf numFmtId="179" fontId="31" fillId="84" borderId="0" applyNumberFormat="0" applyBorder="0" applyAlignment="0" applyProtection="0"/>
    <xf numFmtId="179" fontId="31" fillId="8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179" fontId="31" fillId="56" borderId="0" applyNumberFormat="0" applyBorder="0" applyAlignment="0" applyProtection="0"/>
    <xf numFmtId="179" fontId="31" fillId="56" borderId="0" applyNumberFormat="0" applyBorder="0" applyAlignment="0" applyProtection="0"/>
    <xf numFmtId="179" fontId="31" fillId="56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179" fontId="31" fillId="77" borderId="0" applyNumberFormat="0" applyBorder="0" applyAlignment="0" applyProtection="0"/>
    <xf numFmtId="179" fontId="31" fillId="77" borderId="0" applyNumberFormat="0" applyBorder="0" applyAlignment="0" applyProtection="0"/>
    <xf numFmtId="179" fontId="31" fillId="77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179" fontId="31" fillId="85" borderId="0" applyNumberFormat="0" applyBorder="0" applyAlignment="0" applyProtection="0"/>
    <xf numFmtId="179" fontId="31" fillId="85" borderId="0" applyNumberFormat="0" applyBorder="0" applyAlignment="0" applyProtection="0"/>
    <xf numFmtId="179" fontId="31" fillId="8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179" fontId="31" fillId="55" borderId="0" applyNumberFormat="0" applyBorder="0" applyAlignment="0" applyProtection="0"/>
    <xf numFmtId="179" fontId="31" fillId="55" borderId="0" applyNumberFormat="0" applyBorder="0" applyAlignment="0" applyProtection="0"/>
    <xf numFmtId="179" fontId="31" fillId="55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179" fontId="31" fillId="52" borderId="0" applyNumberFormat="0" applyBorder="0" applyAlignment="0" applyProtection="0"/>
    <xf numFmtId="179" fontId="31" fillId="52" borderId="0" applyNumberFormat="0" applyBorder="0" applyAlignment="0" applyProtection="0"/>
    <xf numFmtId="179" fontId="31" fillId="52" borderId="0" applyNumberFormat="0" applyBorder="0" applyAlignment="0" applyProtection="0"/>
    <xf numFmtId="179" fontId="33" fillId="81" borderId="74" applyNumberFormat="0" applyAlignment="0" applyProtection="0"/>
    <xf numFmtId="179" fontId="33" fillId="81" borderId="74" applyNumberFormat="0" applyAlignment="0" applyProtection="0"/>
    <xf numFmtId="179" fontId="33" fillId="81" borderId="74" applyNumberFormat="0" applyAlignment="0" applyProtection="0"/>
    <xf numFmtId="17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07" fontId="109" fillId="0" borderId="0"/>
    <xf numFmtId="208" fontId="109" fillId="0" borderId="0"/>
    <xf numFmtId="209" fontId="110" fillId="0" borderId="0">
      <protection locked="0"/>
    </xf>
    <xf numFmtId="209" fontId="111" fillId="0" borderId="0">
      <protection locked="0"/>
    </xf>
    <xf numFmtId="209" fontId="111" fillId="0" borderId="0">
      <protection locked="0"/>
    </xf>
    <xf numFmtId="209" fontId="111" fillId="0" borderId="0">
      <protection locked="0"/>
    </xf>
    <xf numFmtId="209" fontId="111" fillId="0" borderId="0">
      <protection locked="0"/>
    </xf>
    <xf numFmtId="209" fontId="111" fillId="0" borderId="0">
      <protection locked="0"/>
    </xf>
    <xf numFmtId="209" fontId="111" fillId="0" borderId="0"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79" fontId="113" fillId="0" borderId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79" fontId="87" fillId="72" borderId="0" applyNumberFormat="0" applyBorder="0" applyAlignment="0" applyProtection="0"/>
    <xf numFmtId="179" fontId="87" fillId="72" borderId="0" applyNumberFormat="0" applyBorder="0" applyAlignment="0" applyProtection="0"/>
    <xf numFmtId="179" fontId="87" fillId="72" borderId="0" applyNumberFormat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10" fontId="48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81" borderId="0" applyNumberFormat="0" applyBorder="0" applyAlignment="0" applyProtection="0"/>
    <xf numFmtId="179" fontId="115" fillId="81" borderId="0" applyNumberFormat="0" applyBorder="0" applyAlignment="0" applyProtection="0"/>
    <xf numFmtId="179" fontId="115" fillId="81" borderId="0" applyNumberFormat="0" applyBorder="0" applyAlignment="0" applyProtection="0"/>
    <xf numFmtId="0" fontId="51" fillId="0" borderId="0"/>
    <xf numFmtId="0" fontId="20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9" fillId="0" borderId="0"/>
    <xf numFmtId="0" fontId="20" fillId="0" borderId="0"/>
    <xf numFmtId="0" fontId="20" fillId="0" borderId="0"/>
    <xf numFmtId="179" fontId="9" fillId="0" borderId="0"/>
    <xf numFmtId="179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51" fillId="0" borderId="0"/>
    <xf numFmtId="0" fontId="9" fillId="0" borderId="0"/>
    <xf numFmtId="0" fontId="51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0" fontId="20" fillId="0" borderId="0"/>
    <xf numFmtId="0" fontId="20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0" fontId="20" fillId="0" borderId="0"/>
    <xf numFmtId="170" fontId="19" fillId="0" borderId="0"/>
    <xf numFmtId="179" fontId="19" fillId="0" borderId="0"/>
    <xf numFmtId="179" fontId="48" fillId="69" borderId="76" applyNumberFormat="0" applyFont="0" applyAlignment="0" applyProtection="0"/>
    <xf numFmtId="179" fontId="48" fillId="69" borderId="76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6" fillId="82" borderId="78" applyNumberFormat="0" applyAlignment="0" applyProtection="0"/>
    <xf numFmtId="179" fontId="36" fillId="82" borderId="78" applyNumberFormat="0" applyAlignment="0" applyProtection="0"/>
    <xf numFmtId="179" fontId="36" fillId="82" borderId="78" applyNumberFormat="0" applyAlignment="0" applyProtection="0"/>
    <xf numFmtId="0" fontId="28" fillId="68" borderId="2" applyNumberFormat="0" applyAlignment="0" applyProtection="0"/>
    <xf numFmtId="179" fontId="37" fillId="0" borderId="0" applyNumberFormat="0" applyFill="0" applyBorder="0" applyAlignment="0" applyProtection="0"/>
    <xf numFmtId="179" fontId="37" fillId="0" borderId="0" applyNumberFormat="0" applyFill="0" applyBorder="0" applyAlignment="0" applyProtection="0"/>
    <xf numFmtId="179" fontId="37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9" fontId="38" fillId="0" borderId="80" applyNumberFormat="0" applyFill="0" applyAlignment="0" applyProtection="0"/>
    <xf numFmtId="179" fontId="38" fillId="0" borderId="80" applyNumberFormat="0" applyFill="0" applyAlignment="0" applyProtection="0"/>
    <xf numFmtId="179" fontId="38" fillId="0" borderId="80" applyNumberFormat="0" applyFill="0" applyAlignment="0" applyProtection="0"/>
    <xf numFmtId="179" fontId="39" fillId="0" borderId="81" applyNumberFormat="0" applyFill="0" applyAlignment="0" applyProtection="0"/>
    <xf numFmtId="179" fontId="39" fillId="0" borderId="81" applyNumberFormat="0" applyFill="0" applyAlignment="0" applyProtection="0"/>
    <xf numFmtId="179" fontId="39" fillId="0" borderId="81" applyNumberFormat="0" applyFill="0" applyAlignment="0" applyProtection="0"/>
    <xf numFmtId="179" fontId="29" fillId="0" borderId="82" applyNumberFormat="0" applyFill="0" applyAlignment="0" applyProtection="0"/>
    <xf numFmtId="179" fontId="29" fillId="0" borderId="82" applyNumberFormat="0" applyFill="0" applyAlignment="0" applyProtection="0"/>
    <xf numFmtId="179" fontId="29" fillId="0" borderId="82" applyNumberFormat="0" applyFill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0" fontId="20" fillId="0" borderId="0"/>
    <xf numFmtId="0" fontId="30" fillId="0" borderId="83" applyNumberFormat="0" applyFill="0" applyAlignment="0" applyProtection="0"/>
    <xf numFmtId="179" fontId="30" fillId="0" borderId="84" applyNumberFormat="0" applyFill="0" applyAlignment="0" applyProtection="0"/>
    <xf numFmtId="179" fontId="30" fillId="0" borderId="84" applyNumberFormat="0" applyFill="0" applyAlignment="0" applyProtection="0"/>
    <xf numFmtId="211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69" borderId="67" applyNumberFormat="0" applyFont="0" applyAlignment="0" applyProtection="0"/>
    <xf numFmtId="0" fontId="31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28" fillId="68" borderId="2" applyNumberFormat="0" applyAlignment="0" applyProtection="0"/>
    <xf numFmtId="0" fontId="20" fillId="69" borderId="67" applyNumberFormat="0" applyFont="0" applyAlignment="0" applyProtection="0"/>
    <xf numFmtId="0" fontId="20" fillId="69" borderId="67" applyNumberFormat="0" applyFont="0" applyAlignment="0" applyProtection="0"/>
    <xf numFmtId="0" fontId="20" fillId="69" borderId="67" applyNumberFormat="0" applyFont="0" applyAlignment="0" applyProtection="0"/>
    <xf numFmtId="179" fontId="28" fillId="68" borderId="2" applyNumberFormat="0" applyAlignment="0" applyProtection="0"/>
    <xf numFmtId="179" fontId="28" fillId="68" borderId="2" applyNumberFormat="0" applyAlignment="0" applyProtection="0"/>
    <xf numFmtId="179" fontId="28" fillId="68" borderId="2" applyNumberFormat="0" applyAlignment="0" applyProtection="0"/>
    <xf numFmtId="179" fontId="48" fillId="69" borderId="67" applyNumberFormat="0" applyFont="0" applyAlignment="0" applyProtection="0"/>
    <xf numFmtId="179" fontId="48" fillId="69" borderId="67" applyNumberFormat="0" applyFont="0" applyAlignment="0" applyProtection="0"/>
    <xf numFmtId="0" fontId="8" fillId="0" borderId="0"/>
    <xf numFmtId="0" fontId="7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0" fillId="0" borderId="0"/>
    <xf numFmtId="0" fontId="74" fillId="0" borderId="0"/>
    <xf numFmtId="168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21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16" fillId="0" borderId="0" applyNumberFormat="0" applyFill="0" applyBorder="0" applyProtection="0">
      <alignment vertical="top"/>
    </xf>
    <xf numFmtId="0" fontId="1" fillId="0" borderId="0"/>
    <xf numFmtId="168" fontId="1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9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4" fontId="22" fillId="0" borderId="0" xfId="32" applyNumberFormat="1" applyFont="1" applyFill="1"/>
    <xf numFmtId="4" fontId="21" fillId="0" borderId="0" xfId="32" applyNumberFormat="1" applyFont="1" applyFill="1"/>
    <xf numFmtId="173" fontId="22" fillId="0" borderId="0" xfId="32" applyNumberFormat="1" applyFont="1" applyFill="1"/>
    <xf numFmtId="165" fontId="21" fillId="0" borderId="0" xfId="76" applyNumberFormat="1" applyFont="1" applyFill="1" applyBorder="1" applyAlignment="1">
      <alignment horizontal="right" vertical="center"/>
    </xf>
    <xf numFmtId="0" fontId="52" fillId="0" borderId="0" xfId="78" applyNumberFormat="1" applyFont="1" applyBorder="1" applyAlignment="1"/>
    <xf numFmtId="168" fontId="52" fillId="0" borderId="0" xfId="79" applyFont="1" applyBorder="1" applyAlignment="1"/>
    <xf numFmtId="0" fontId="52" fillId="0" borderId="0" xfId="78" applyNumberFormat="1" applyFont="1" applyFill="1" applyBorder="1" applyAlignment="1"/>
    <xf numFmtId="0" fontId="53" fillId="23" borderId="0" xfId="78" applyNumberFormat="1" applyFont="1" applyFill="1" applyBorder="1" applyAlignment="1">
      <alignment horizontal="center"/>
    </xf>
    <xf numFmtId="168" fontId="52" fillId="23" borderId="0" xfId="79" applyFont="1" applyFill="1" applyBorder="1" applyAlignment="1"/>
    <xf numFmtId="0" fontId="52" fillId="23" borderId="0" xfId="78" applyNumberFormat="1" applyFont="1" applyFill="1" applyBorder="1" applyAlignment="1"/>
    <xf numFmtId="0" fontId="53" fillId="23" borderId="0" xfId="78" applyNumberFormat="1" applyFont="1" applyFill="1" applyBorder="1" applyAlignment="1"/>
    <xf numFmtId="168" fontId="0" fillId="23" borderId="0" xfId="79" applyFont="1" applyFill="1" applyBorder="1"/>
    <xf numFmtId="168" fontId="52" fillId="23" borderId="0" xfId="79" applyFont="1" applyFill="1" applyBorder="1" applyAlignment="1">
      <alignment horizontal="center"/>
    </xf>
    <xf numFmtId="179" fontId="52" fillId="23" borderId="0" xfId="78" applyNumberFormat="1" applyFill="1" applyBorder="1"/>
    <xf numFmtId="179" fontId="52" fillId="0" borderId="0" xfId="78" applyNumberFormat="1" applyFont="1" applyFill="1" applyBorder="1" applyAlignment="1"/>
    <xf numFmtId="168" fontId="53" fillId="23" borderId="0" xfId="79" applyFont="1" applyFill="1" applyBorder="1" applyAlignment="1"/>
    <xf numFmtId="179" fontId="53" fillId="23" borderId="0" xfId="78" applyNumberFormat="1" applyFont="1" applyFill="1" applyBorder="1"/>
    <xf numFmtId="168" fontId="53" fillId="23" borderId="0" xfId="79" applyFont="1" applyFill="1" applyBorder="1" applyAlignment="1">
      <alignment horizontal="left"/>
    </xf>
    <xf numFmtId="168" fontId="52" fillId="21" borderId="0" xfId="79" applyFont="1" applyFill="1" applyBorder="1" applyAlignment="1">
      <alignment horizontal="center"/>
    </xf>
    <xf numFmtId="0" fontId="54" fillId="23" borderId="0" xfId="78" applyNumberFormat="1" applyFont="1" applyFill="1" applyBorder="1" applyAlignment="1"/>
    <xf numFmtId="168" fontId="53" fillId="23" borderId="0" xfId="79" applyFont="1" applyFill="1" applyBorder="1" applyAlignment="1">
      <alignment horizontal="center"/>
    </xf>
    <xf numFmtId="179" fontId="52" fillId="24" borderId="0" xfId="78" applyNumberFormat="1" applyFont="1" applyFill="1" applyBorder="1"/>
    <xf numFmtId="168" fontId="52" fillId="0" borderId="0" xfId="79" applyFont="1" applyFill="1" applyBorder="1" applyAlignment="1"/>
    <xf numFmtId="0" fontId="52" fillId="0" borderId="0" xfId="78" applyNumberFormat="1" applyFont="1" applyFill="1" applyBorder="1" applyAlignment="1">
      <alignment horizontal="right"/>
    </xf>
    <xf numFmtId="168" fontId="0" fillId="24" borderId="0" xfId="79" applyFont="1" applyFill="1" applyBorder="1"/>
    <xf numFmtId="168" fontId="52" fillId="24" borderId="0" xfId="79" applyFont="1" applyFill="1" applyBorder="1" applyAlignment="1"/>
    <xf numFmtId="168" fontId="53" fillId="23" borderId="0" xfId="79" applyFont="1" applyFill="1" applyBorder="1"/>
    <xf numFmtId="0" fontId="52" fillId="21" borderId="0" xfId="78" applyNumberFormat="1" applyFont="1" applyFill="1" applyBorder="1" applyAlignment="1"/>
    <xf numFmtId="168" fontId="52" fillId="21" borderId="0" xfId="79" applyFont="1" applyFill="1" applyBorder="1"/>
    <xf numFmtId="168" fontId="0" fillId="0" borderId="0" xfId="79" applyFont="1" applyFill="1" applyBorder="1"/>
    <xf numFmtId="179" fontId="52" fillId="0" borderId="0" xfId="78" applyNumberFormat="1" applyFill="1" applyBorder="1"/>
    <xf numFmtId="2" fontId="52" fillId="24" borderId="0" xfId="78" applyNumberFormat="1" applyFill="1" applyBorder="1"/>
    <xf numFmtId="180" fontId="52" fillId="24" borderId="0" xfId="79" applyNumberFormat="1" applyFont="1" applyFill="1" applyBorder="1" applyAlignment="1"/>
    <xf numFmtId="179" fontId="52" fillId="24" borderId="0" xfId="78" applyNumberFormat="1" applyFill="1" applyBorder="1"/>
    <xf numFmtId="2" fontId="52" fillId="0" borderId="0" xfId="78" applyNumberFormat="1" applyFill="1" applyBorder="1"/>
    <xf numFmtId="180" fontId="52" fillId="0" borderId="0" xfId="79" applyNumberFormat="1" applyFont="1" applyFill="1" applyBorder="1" applyAlignment="1"/>
    <xf numFmtId="4" fontId="52" fillId="0" borderId="0" xfId="78" applyNumberFormat="1" applyFont="1" applyFill="1" applyBorder="1" applyAlignment="1"/>
    <xf numFmtId="4" fontId="52" fillId="0" borderId="0" xfId="78" applyNumberFormat="1" applyFill="1" applyBorder="1"/>
    <xf numFmtId="179" fontId="0" fillId="23" borderId="0" xfId="79" applyNumberFormat="1" applyFont="1" applyFill="1" applyBorder="1"/>
    <xf numFmtId="0" fontId="53" fillId="0" borderId="0" xfId="78" applyNumberFormat="1" applyFont="1" applyFill="1" applyBorder="1" applyAlignment="1"/>
    <xf numFmtId="180" fontId="0" fillId="23" borderId="0" xfId="79" applyNumberFormat="1" applyFont="1" applyFill="1" applyBorder="1"/>
    <xf numFmtId="0" fontId="53" fillId="21" borderId="0" xfId="78" applyNumberFormat="1" applyFont="1" applyFill="1" applyBorder="1" applyAlignment="1"/>
    <xf numFmtId="168" fontId="52" fillId="21" borderId="0" xfId="79" applyFont="1" applyFill="1" applyBorder="1" applyAlignment="1"/>
    <xf numFmtId="168" fontId="0" fillId="23" borderId="0" xfId="79" applyFont="1" applyFill="1" applyBorder="1" applyAlignment="1">
      <alignment horizontal="center"/>
    </xf>
    <xf numFmtId="4" fontId="52" fillId="23" borderId="0" xfId="78" applyNumberFormat="1" applyFont="1" applyFill="1" applyBorder="1" applyAlignment="1"/>
    <xf numFmtId="10" fontId="0" fillId="23" borderId="0" xfId="79" applyNumberFormat="1" applyFont="1" applyFill="1" applyBorder="1"/>
    <xf numFmtId="179" fontId="52" fillId="23" borderId="0" xfId="78" applyNumberFormat="1" applyFont="1" applyFill="1" applyBorder="1" applyAlignment="1"/>
    <xf numFmtId="0" fontId="55" fillId="23" borderId="0" xfId="78" applyNumberFormat="1" applyFont="1" applyFill="1" applyBorder="1" applyAlignment="1"/>
    <xf numFmtId="0" fontId="50" fillId="0" borderId="0" xfId="78" applyFont="1" applyBorder="1" applyAlignment="1">
      <alignment horizontal="center"/>
    </xf>
    <xf numFmtId="168" fontId="50" fillId="0" borderId="0" xfId="79" applyFont="1" applyBorder="1" applyAlignment="1">
      <alignment horizontal="center"/>
    </xf>
    <xf numFmtId="0" fontId="52" fillId="0" borderId="0" xfId="78" applyFont="1" applyBorder="1"/>
    <xf numFmtId="168" fontId="52" fillId="0" borderId="0" xfId="79" applyFont="1" applyBorder="1"/>
    <xf numFmtId="0" fontId="52" fillId="0" borderId="0" xfId="78" applyFont="1" applyBorder="1" applyAlignment="1">
      <alignment horizontal="center"/>
    </xf>
    <xf numFmtId="0" fontId="50" fillId="0" borderId="0" xfId="78" applyFont="1" applyBorder="1"/>
    <xf numFmtId="0" fontId="53" fillId="0" borderId="0" xfId="78" applyFont="1" applyBorder="1"/>
    <xf numFmtId="0" fontId="52" fillId="0" borderId="0" xfId="78" applyFont="1" applyFill="1" applyBorder="1"/>
    <xf numFmtId="2" fontId="52" fillId="0" borderId="0" xfId="78" applyNumberFormat="1" applyFont="1" applyBorder="1" applyAlignment="1">
      <alignment horizontal="center"/>
    </xf>
    <xf numFmtId="168" fontId="53" fillId="0" borderId="0" xfId="79" applyFont="1" applyBorder="1"/>
    <xf numFmtId="0" fontId="53" fillId="0" borderId="0" xfId="78" applyFont="1" applyBorder="1" applyAlignment="1">
      <alignment horizontal="center"/>
    </xf>
    <xf numFmtId="168" fontId="52" fillId="0" borderId="0" xfId="79" applyNumberFormat="1" applyFont="1" applyBorder="1"/>
    <xf numFmtId="0" fontId="52" fillId="0" borderId="0" xfId="78" applyBorder="1"/>
    <xf numFmtId="168" fontId="0" fillId="0" borderId="0" xfId="79" applyFont="1" applyBorder="1"/>
    <xf numFmtId="0" fontId="52" fillId="0" borderId="0" xfId="78" applyBorder="1" applyAlignment="1">
      <alignment horizontal="center"/>
    </xf>
    <xf numFmtId="0" fontId="56" fillId="0" borderId="0" xfId="78" applyFont="1" applyBorder="1"/>
    <xf numFmtId="168" fontId="57" fillId="0" borderId="0" xfId="79" applyFont="1" applyBorder="1"/>
    <xf numFmtId="168" fontId="52" fillId="0" borderId="0" xfId="79" applyFont="1" applyBorder="1" applyAlignment="1">
      <alignment horizontal="center"/>
    </xf>
    <xf numFmtId="4" fontId="52" fillId="0" borderId="12" xfId="80" applyNumberFormat="1" applyFont="1" applyBorder="1" applyAlignment="1"/>
    <xf numFmtId="0" fontId="18" fillId="0" borderId="0" xfId="80"/>
    <xf numFmtId="4" fontId="52" fillId="0" borderId="12" xfId="80" applyNumberFormat="1" applyFont="1" applyBorder="1" applyAlignment="1">
      <alignment horizontal="center"/>
    </xf>
    <xf numFmtId="168" fontId="52" fillId="0" borderId="12" xfId="81" applyFont="1" applyBorder="1" applyAlignment="1">
      <alignment horizontal="center"/>
    </xf>
    <xf numFmtId="4" fontId="53" fillId="23" borderId="12" xfId="80" applyNumberFormat="1" applyFont="1" applyFill="1" applyBorder="1" applyAlignment="1"/>
    <xf numFmtId="4" fontId="52" fillId="23" borderId="12" xfId="80" applyNumberFormat="1" applyFont="1" applyFill="1" applyBorder="1" applyAlignment="1">
      <alignment horizontal="center"/>
    </xf>
    <xf numFmtId="168" fontId="0" fillId="23" borderId="12" xfId="81" applyFont="1" applyFill="1" applyBorder="1"/>
    <xf numFmtId="4" fontId="52" fillId="23" borderId="12" xfId="80" applyNumberFormat="1" applyFont="1" applyFill="1" applyBorder="1" applyAlignment="1"/>
    <xf numFmtId="4" fontId="52" fillId="0" borderId="12" xfId="80" applyNumberFormat="1" applyFont="1" applyFill="1" applyBorder="1" applyAlignment="1"/>
    <xf numFmtId="168" fontId="52" fillId="25" borderId="12" xfId="81" applyFont="1" applyFill="1" applyBorder="1"/>
    <xf numFmtId="4" fontId="52" fillId="23" borderId="12" xfId="80" applyNumberFormat="1" applyFont="1" applyFill="1" applyBorder="1" applyAlignment="1">
      <alignment wrapText="1"/>
    </xf>
    <xf numFmtId="168" fontId="52" fillId="0" borderId="12" xfId="81" applyFont="1" applyFill="1" applyBorder="1"/>
    <xf numFmtId="168" fontId="52" fillId="25" borderId="12" xfId="81" applyFont="1" applyFill="1" applyBorder="1" applyAlignment="1"/>
    <xf numFmtId="4" fontId="52" fillId="26" borderId="12" xfId="80" applyNumberFormat="1" applyFont="1" applyFill="1" applyBorder="1" applyAlignment="1"/>
    <xf numFmtId="168" fontId="52" fillId="25" borderId="12" xfId="81" applyFont="1" applyFill="1" applyBorder="1" applyAlignment="1">
      <alignment horizontal="center"/>
    </xf>
    <xf numFmtId="168" fontId="52" fillId="0" borderId="12" xfId="81" applyFont="1" applyFill="1" applyBorder="1" applyAlignment="1">
      <alignment horizontal="center"/>
    </xf>
    <xf numFmtId="4" fontId="52" fillId="21" borderId="12" xfId="80" applyNumberFormat="1" applyFont="1" applyFill="1" applyBorder="1" applyAlignment="1"/>
    <xf numFmtId="168" fontId="52" fillId="21" borderId="12" xfId="81" applyFont="1" applyFill="1" applyBorder="1" applyAlignment="1">
      <alignment horizontal="center"/>
    </xf>
    <xf numFmtId="0" fontId="60" fillId="0" borderId="0" xfId="80" applyFont="1"/>
    <xf numFmtId="0" fontId="21" fillId="0" borderId="0" xfId="80" applyFont="1"/>
    <xf numFmtId="171" fontId="22" fillId="0" borderId="0" xfId="81" applyNumberFormat="1" applyFont="1"/>
    <xf numFmtId="0" fontId="22" fillId="0" borderId="0" xfId="80" applyFont="1" applyAlignment="1">
      <alignment horizontal="center"/>
    </xf>
    <xf numFmtId="173" fontId="22" fillId="0" borderId="0" xfId="80" applyNumberFormat="1" applyFont="1"/>
    <xf numFmtId="4" fontId="21" fillId="0" borderId="0" xfId="81" applyNumberFormat="1" applyFont="1" applyAlignment="1">
      <alignment horizontal="center"/>
    </xf>
    <xf numFmtId="4" fontId="21" fillId="0" borderId="0" xfId="80" applyNumberFormat="1" applyFont="1" applyAlignment="1">
      <alignment horizontal="left"/>
    </xf>
    <xf numFmtId="0" fontId="22" fillId="0" borderId="0" xfId="80" applyFont="1"/>
    <xf numFmtId="4" fontId="22" fillId="0" borderId="0" xfId="81" applyNumberFormat="1" applyFont="1"/>
    <xf numFmtId="4" fontId="21" fillId="0" borderId="0" xfId="81" applyNumberFormat="1" applyFont="1"/>
    <xf numFmtId="168" fontId="22" fillId="0" borderId="0" xfId="81" applyFont="1"/>
    <xf numFmtId="0" fontId="21" fillId="0" borderId="0" xfId="80" applyFont="1" applyFill="1" applyBorder="1" applyAlignment="1" applyProtection="1">
      <alignment horizontal="left" vertical="center" wrapText="1"/>
    </xf>
    <xf numFmtId="177" fontId="21" fillId="0" borderId="0" xfId="80" applyNumberFormat="1" applyFont="1" applyFill="1" applyBorder="1" applyAlignment="1">
      <alignment horizontal="center" vertical="center"/>
    </xf>
    <xf numFmtId="0" fontId="22" fillId="0" borderId="0" xfId="80" applyFont="1" applyFill="1" applyBorder="1" applyAlignment="1" applyProtection="1">
      <alignment horizontal="left" vertical="center"/>
    </xf>
    <xf numFmtId="172" fontId="22" fillId="0" borderId="0" xfId="80" applyNumberFormat="1" applyFont="1" applyFill="1" applyBorder="1" applyAlignment="1" applyProtection="1">
      <alignment horizontal="right" vertical="center"/>
      <protection locked="0"/>
    </xf>
    <xf numFmtId="4" fontId="22" fillId="0" borderId="0" xfId="81" applyNumberFormat="1" applyFont="1" applyFill="1" applyAlignment="1">
      <alignment horizontal="right" vertical="center"/>
    </xf>
    <xf numFmtId="168" fontId="22" fillId="0" borderId="0" xfId="81" applyFont="1" applyFill="1" applyBorder="1" applyAlignment="1" applyProtection="1">
      <alignment horizontal="right" vertical="center"/>
      <protection locked="0"/>
    </xf>
    <xf numFmtId="0" fontId="22" fillId="0" borderId="0" xfId="80" applyFont="1" applyFill="1" applyBorder="1" applyAlignment="1" applyProtection="1">
      <alignment horizontal="right" vertical="center"/>
    </xf>
    <xf numFmtId="10" fontId="22" fillId="0" borderId="0" xfId="82" applyNumberFormat="1" applyFont="1" applyFill="1" applyAlignment="1">
      <alignment horizontal="right" vertical="center"/>
    </xf>
    <xf numFmtId="0" fontId="23" fillId="0" borderId="0" xfId="75" applyFont="1" applyFill="1" applyBorder="1" applyAlignment="1" applyProtection="1">
      <alignment horizontal="left" vertical="center"/>
    </xf>
    <xf numFmtId="173" fontId="23" fillId="0" borderId="0" xfId="75" applyNumberFormat="1" applyFont="1" applyFill="1" applyBorder="1" applyAlignment="1">
      <alignment horizontal="right" vertical="center"/>
    </xf>
    <xf numFmtId="165" fontId="21" fillId="0" borderId="0" xfId="76" applyNumberFormat="1" applyFont="1" applyFill="1" applyBorder="1" applyAlignment="1">
      <alignment vertical="center"/>
    </xf>
    <xf numFmtId="4" fontId="21" fillId="0" borderId="0" xfId="81" applyNumberFormat="1" applyFont="1" applyFill="1"/>
    <xf numFmtId="0" fontId="21" fillId="0" borderId="0" xfId="80" applyFont="1" applyFill="1" applyBorder="1" applyAlignment="1">
      <alignment vertical="center" wrapText="1"/>
    </xf>
    <xf numFmtId="0" fontId="21" fillId="0" borderId="0" xfId="80" applyFont="1" applyFill="1" applyBorder="1" applyAlignment="1">
      <alignment horizontal="right" vertical="center"/>
    </xf>
    <xf numFmtId="0" fontId="18" fillId="0" borderId="0" xfId="80" applyFill="1" applyBorder="1"/>
    <xf numFmtId="0" fontId="22" fillId="0" borderId="0" xfId="80" applyFont="1" applyFill="1" applyBorder="1" applyAlignment="1" applyProtection="1">
      <alignment horizontal="center" vertical="center"/>
    </xf>
    <xf numFmtId="4" fontId="22" fillId="0" borderId="0" xfId="80" applyNumberFormat="1" applyFont="1" applyFill="1" applyBorder="1" applyAlignment="1" applyProtection="1">
      <alignment vertical="center"/>
      <protection locked="0"/>
    </xf>
    <xf numFmtId="0" fontId="22" fillId="0" borderId="0" xfId="80" applyFont="1" applyFill="1" applyBorder="1"/>
    <xf numFmtId="0" fontId="21" fillId="0" borderId="0" xfId="80" applyFont="1" applyFill="1"/>
    <xf numFmtId="172" fontId="22" fillId="0" borderId="0" xfId="81" applyNumberFormat="1" applyFont="1" applyFill="1"/>
    <xf numFmtId="0" fontId="22" fillId="0" borderId="0" xfId="80" applyFont="1" applyFill="1" applyAlignment="1">
      <alignment horizontal="center"/>
    </xf>
    <xf numFmtId="173" fontId="22" fillId="0" borderId="0" xfId="81" applyNumberFormat="1" applyFont="1" applyFill="1"/>
    <xf numFmtId="4" fontId="22" fillId="0" borderId="0" xfId="81" applyNumberFormat="1" applyFont="1" applyFill="1"/>
    <xf numFmtId="177" fontId="21" fillId="0" borderId="0" xfId="80" applyNumberFormat="1" applyFont="1" applyFill="1" applyBorder="1" applyAlignment="1">
      <alignment horizontal="left" vertical="center"/>
    </xf>
    <xf numFmtId="178" fontId="21" fillId="0" borderId="0" xfId="80" applyNumberFormat="1" applyFont="1" applyFill="1" applyBorder="1" applyAlignment="1">
      <alignment vertical="center"/>
    </xf>
    <xf numFmtId="0" fontId="22" fillId="0" borderId="0" xfId="80" applyFont="1" applyFill="1"/>
    <xf numFmtId="181" fontId="22" fillId="0" borderId="0" xfId="80" applyNumberFormat="1" applyFont="1" applyFill="1" applyAlignment="1">
      <alignment horizontal="center"/>
    </xf>
    <xf numFmtId="171" fontId="22" fillId="0" borderId="0" xfId="81" applyNumberFormat="1" applyFont="1" applyFill="1"/>
    <xf numFmtId="39" fontId="22" fillId="0" borderId="0" xfId="81" applyNumberFormat="1" applyFont="1" applyFill="1"/>
    <xf numFmtId="173" fontId="22" fillId="0" borderId="0" xfId="80" applyNumberFormat="1" applyFont="1" applyFill="1"/>
    <xf numFmtId="173" fontId="21" fillId="0" borderId="0" xfId="81" applyNumberFormat="1" applyFont="1" applyFill="1"/>
    <xf numFmtId="2" fontId="22" fillId="0" borderId="0" xfId="80" applyNumberFormat="1" applyFont="1" applyFill="1" applyAlignment="1">
      <alignment horizontal="center"/>
    </xf>
    <xf numFmtId="4" fontId="22" fillId="0" borderId="0" xfId="58" applyNumberFormat="1" applyFont="1" applyFill="1" applyBorder="1" applyAlignment="1">
      <alignment horizontal="right" vertical="center"/>
    </xf>
    <xf numFmtId="4" fontId="21" fillId="0" borderId="0" xfId="81" applyNumberFormat="1" applyFont="1" applyFill="1" applyAlignment="1">
      <alignment horizontal="center"/>
    </xf>
    <xf numFmtId="0" fontId="22" fillId="0" borderId="0" xfId="80" applyFont="1" applyFill="1" applyAlignment="1">
      <alignment vertical="center" wrapText="1"/>
    </xf>
    <xf numFmtId="171" fontId="22" fillId="0" borderId="0" xfId="81" applyNumberFormat="1" applyFont="1" applyFill="1" applyAlignment="1">
      <alignment vertical="center"/>
    </xf>
    <xf numFmtId="0" fontId="22" fillId="0" borderId="0" xfId="80" applyFont="1" applyFill="1" applyAlignment="1">
      <alignment horizontal="center" vertical="center"/>
    </xf>
    <xf numFmtId="173" fontId="22" fillId="0" borderId="0" xfId="80" applyNumberFormat="1" applyFont="1" applyFill="1" applyAlignment="1">
      <alignment horizontal="right" vertical="center"/>
    </xf>
    <xf numFmtId="4" fontId="21" fillId="0" borderId="8" xfId="81" applyNumberFormat="1" applyFont="1" applyFill="1" applyBorder="1" applyAlignment="1">
      <alignment horizontal="center"/>
    </xf>
    <xf numFmtId="4" fontId="18" fillId="0" borderId="0" xfId="80" applyNumberFormat="1"/>
    <xf numFmtId="4" fontId="60" fillId="0" borderId="0" xfId="80" applyNumberFormat="1" applyFont="1"/>
    <xf numFmtId="4" fontId="52" fillId="28" borderId="22" xfId="81" applyNumberFormat="1" applyFont="1" applyFill="1" applyBorder="1" applyAlignment="1" applyProtection="1">
      <alignment horizontal="center" vertical="center"/>
    </xf>
    <xf numFmtId="4" fontId="52" fillId="27" borderId="22" xfId="81" applyNumberFormat="1" applyFont="1" applyFill="1" applyBorder="1" applyAlignment="1" applyProtection="1">
      <alignment horizontal="center" vertical="center"/>
    </xf>
    <xf numFmtId="39" fontId="53" fillId="27" borderId="23" xfId="81" applyNumberFormat="1" applyFont="1" applyFill="1" applyBorder="1" applyAlignment="1" applyProtection="1">
      <alignment horizontal="center" vertical="center"/>
    </xf>
    <xf numFmtId="4" fontId="52" fillId="27" borderId="19" xfId="81" applyNumberFormat="1" applyFont="1" applyFill="1" applyBorder="1" applyAlignment="1" applyProtection="1">
      <alignment horizontal="center" vertical="center"/>
    </xf>
    <xf numFmtId="39" fontId="53" fillId="27" borderId="20" xfId="81" applyNumberFormat="1" applyFont="1" applyFill="1" applyBorder="1" applyAlignment="1" applyProtection="1">
      <alignment horizontal="center" vertical="center"/>
    </xf>
    <xf numFmtId="39" fontId="53" fillId="27" borderId="26" xfId="81" applyNumberFormat="1" applyFont="1" applyFill="1" applyBorder="1" applyAlignment="1" applyProtection="1">
      <alignment horizontal="center" vertical="center"/>
    </xf>
    <xf numFmtId="167" fontId="0" fillId="0" borderId="0" xfId="84" applyFont="1"/>
    <xf numFmtId="184" fontId="53" fillId="27" borderId="29" xfId="81" applyNumberFormat="1" applyFont="1" applyFill="1" applyBorder="1" applyAlignment="1" applyProtection="1">
      <alignment horizontal="center" vertical="center"/>
    </xf>
    <xf numFmtId="184" fontId="53" fillId="27" borderId="16" xfId="81" applyNumberFormat="1" applyFont="1" applyFill="1" applyBorder="1" applyAlignment="1" applyProtection="1">
      <alignment horizontal="center" vertical="center"/>
    </xf>
    <xf numFmtId="0" fontId="24" fillId="0" borderId="0" xfId="80" applyFont="1" applyAlignment="1">
      <alignment vertical="center"/>
    </xf>
    <xf numFmtId="4" fontId="24" fillId="0" borderId="0" xfId="80" applyNumberFormat="1" applyFont="1" applyAlignment="1">
      <alignment vertical="center"/>
    </xf>
    <xf numFmtId="0" fontId="24" fillId="0" borderId="0" xfId="80" applyFont="1" applyAlignment="1">
      <alignment horizontal="center" vertical="center"/>
    </xf>
    <xf numFmtId="4" fontId="24" fillId="0" borderId="0" xfId="80" applyNumberFormat="1" applyFont="1" applyAlignment="1">
      <alignment horizontal="center" vertical="center"/>
    </xf>
    <xf numFmtId="4" fontId="68" fillId="0" borderId="0" xfId="80" applyNumberFormat="1" applyFont="1" applyAlignment="1">
      <alignment vertical="center"/>
    </xf>
    <xf numFmtId="172" fontId="22" fillId="0" borderId="0" xfId="32" applyNumberFormat="1" applyFont="1" applyFill="1"/>
    <xf numFmtId="0" fontId="64" fillId="27" borderId="37" xfId="80" applyFont="1" applyFill="1" applyBorder="1" applyAlignment="1">
      <alignment horizontal="center" vertical="center"/>
    </xf>
    <xf numFmtId="4" fontId="64" fillId="27" borderId="37" xfId="80" applyNumberFormat="1" applyFont="1" applyFill="1" applyBorder="1" applyAlignment="1">
      <alignment horizontal="center" vertical="center"/>
    </xf>
    <xf numFmtId="4" fontId="64" fillId="27" borderId="37" xfId="80" applyNumberFormat="1" applyFont="1" applyFill="1" applyBorder="1" applyAlignment="1">
      <alignment horizontal="center" vertical="center" wrapText="1"/>
    </xf>
    <xf numFmtId="4" fontId="64" fillId="27" borderId="38" xfId="80" applyNumberFormat="1" applyFont="1" applyFill="1" applyBorder="1" applyAlignment="1">
      <alignment horizontal="center" vertical="center" wrapText="1"/>
    </xf>
    <xf numFmtId="4" fontId="22" fillId="30" borderId="0" xfId="32" applyNumberFormat="1" applyFont="1" applyFill="1"/>
    <xf numFmtId="0" fontId="22" fillId="30" borderId="0" xfId="0" applyFont="1" applyFill="1" applyAlignment="1">
      <alignment horizontal="center"/>
    </xf>
    <xf numFmtId="0" fontId="22" fillId="30" borderId="0" xfId="0" applyFont="1" applyFill="1"/>
    <xf numFmtId="173" fontId="22" fillId="30" borderId="0" xfId="32" applyNumberFormat="1" applyFont="1" applyFill="1"/>
    <xf numFmtId="2" fontId="64" fillId="27" borderId="36" xfId="80" applyNumberFormat="1" applyFont="1" applyFill="1" applyBorder="1" applyAlignment="1">
      <alignment horizontal="center" vertical="center" wrapText="1"/>
    </xf>
    <xf numFmtId="2" fontId="24" fillId="0" borderId="0" xfId="80" applyNumberFormat="1" applyFont="1" applyAlignment="1">
      <alignment horizontal="right" vertical="center" wrapText="1"/>
    </xf>
    <xf numFmtId="173" fontId="22" fillId="31" borderId="0" xfId="0" applyNumberFormat="1" applyFont="1" applyFill="1"/>
    <xf numFmtId="0" fontId="22" fillId="31" borderId="0" xfId="0" applyFont="1" applyFill="1"/>
    <xf numFmtId="171" fontId="22" fillId="31" borderId="0" xfId="32" applyNumberFormat="1" applyFont="1" applyFill="1"/>
    <xf numFmtId="0" fontId="22" fillId="31" borderId="0" xfId="0" applyFont="1" applyFill="1" applyAlignment="1">
      <alignment horizontal="center"/>
    </xf>
    <xf numFmtId="4" fontId="22" fillId="31" borderId="0" xfId="32" applyNumberFormat="1" applyFont="1" applyFill="1"/>
    <xf numFmtId="168" fontId="22" fillId="31" borderId="0" xfId="32" applyFont="1" applyFill="1"/>
    <xf numFmtId="172" fontId="22" fillId="30" borderId="0" xfId="32" applyNumberFormat="1" applyFont="1" applyFill="1"/>
    <xf numFmtId="0" fontId="15" fillId="22" borderId="0" xfId="88" applyFill="1"/>
    <xf numFmtId="0" fontId="15" fillId="0" borderId="0" xfId="88"/>
    <xf numFmtId="2" fontId="61" fillId="28" borderId="0" xfId="88" applyNumberFormat="1" applyFont="1" applyFill="1" applyAlignment="1">
      <alignment horizontal="right" vertical="top"/>
    </xf>
    <xf numFmtId="4" fontId="72" fillId="28" borderId="0" xfId="88" applyNumberFormat="1" applyFont="1" applyFill="1" applyAlignment="1">
      <alignment vertical="center"/>
    </xf>
    <xf numFmtId="4" fontId="73" fillId="28" borderId="0" xfId="88" applyNumberFormat="1" applyFont="1" applyFill="1" applyAlignment="1">
      <alignment vertical="center"/>
    </xf>
    <xf numFmtId="2" fontId="24" fillId="22" borderId="0" xfId="88" applyNumberFormat="1" applyFont="1" applyFill="1" applyAlignment="1">
      <alignment horizontal="right" vertical="center" wrapText="1"/>
    </xf>
    <xf numFmtId="0" fontId="24" fillId="22" borderId="0" xfId="88" applyFont="1" applyFill="1" applyAlignment="1">
      <alignment vertical="center"/>
    </xf>
    <xf numFmtId="4" fontId="24" fillId="22" borderId="0" xfId="88" applyNumberFormat="1" applyFont="1" applyFill="1" applyAlignment="1">
      <alignment vertical="center"/>
    </xf>
    <xf numFmtId="0" fontId="24" fillId="22" borderId="0" xfId="88" applyFont="1" applyFill="1" applyAlignment="1">
      <alignment horizontal="center" vertical="center"/>
    </xf>
    <xf numFmtId="4" fontId="24" fillId="22" borderId="0" xfId="88" applyNumberFormat="1" applyFont="1" applyFill="1" applyAlignment="1">
      <alignment horizontal="center" vertical="center"/>
    </xf>
    <xf numFmtId="4" fontId="68" fillId="22" borderId="0" xfId="88" applyNumberFormat="1" applyFont="1" applyFill="1" applyAlignment="1">
      <alignment vertical="center"/>
    </xf>
    <xf numFmtId="2" fontId="24" fillId="29" borderId="0" xfId="88" applyNumberFormat="1" applyFont="1" applyFill="1" applyAlignment="1">
      <alignment horizontal="right" vertical="center" wrapText="1"/>
    </xf>
    <xf numFmtId="0" fontId="24" fillId="29" borderId="0" xfId="88" applyFont="1" applyFill="1" applyAlignment="1">
      <alignment vertical="center"/>
    </xf>
    <xf numFmtId="4" fontId="24" fillId="29" borderId="0" xfId="88" applyNumberFormat="1" applyFont="1" applyFill="1" applyAlignment="1">
      <alignment vertical="center"/>
    </xf>
    <xf numFmtId="0" fontId="24" fillId="29" borderId="0" xfId="88" applyFont="1" applyFill="1" applyAlignment="1">
      <alignment horizontal="center" vertical="center"/>
    </xf>
    <xf numFmtId="4" fontId="24" fillId="29" borderId="0" xfId="88" applyNumberFormat="1" applyFont="1" applyFill="1" applyAlignment="1">
      <alignment horizontal="center" vertical="center"/>
    </xf>
    <xf numFmtId="4" fontId="68" fillId="29" borderId="0" xfId="88" applyNumberFormat="1" applyFont="1" applyFill="1" applyAlignment="1">
      <alignment vertical="center"/>
    </xf>
    <xf numFmtId="2" fontId="62" fillId="27" borderId="0" xfId="88" applyNumberFormat="1" applyFont="1" applyFill="1" applyAlignment="1">
      <alignment horizontal="right" vertical="top" wrapText="1"/>
    </xf>
    <xf numFmtId="2" fontId="62" fillId="27" borderId="39" xfId="88" applyNumberFormat="1" applyFont="1" applyFill="1" applyBorder="1" applyAlignment="1">
      <alignment horizontal="right" vertical="top" wrapText="1"/>
    </xf>
    <xf numFmtId="14" fontId="53" fillId="27" borderId="39" xfId="79" applyNumberFormat="1" applyFont="1" applyFill="1" applyBorder="1" applyAlignment="1" applyProtection="1">
      <alignment horizontal="center" vertical="center"/>
    </xf>
    <xf numFmtId="2" fontId="64" fillId="29" borderId="40" xfId="88" applyNumberFormat="1" applyFont="1" applyFill="1" applyBorder="1" applyAlignment="1">
      <alignment horizontal="right" vertical="center" wrapText="1"/>
    </xf>
    <xf numFmtId="0" fontId="64" fillId="29" borderId="41" xfId="88" applyFont="1" applyFill="1" applyBorder="1" applyAlignment="1">
      <alignment horizontal="center" vertical="center"/>
    </xf>
    <xf numFmtId="4" fontId="64" fillId="29" borderId="41" xfId="88" applyNumberFormat="1" applyFont="1" applyFill="1" applyBorder="1" applyAlignment="1">
      <alignment vertical="center"/>
    </xf>
    <xf numFmtId="4" fontId="64" fillId="29" borderId="41" xfId="88" applyNumberFormat="1" applyFont="1" applyFill="1" applyBorder="1" applyAlignment="1">
      <alignment horizontal="center" vertical="center"/>
    </xf>
    <xf numFmtId="4" fontId="64" fillId="29" borderId="41" xfId="88" applyNumberFormat="1" applyFont="1" applyFill="1" applyBorder="1" applyAlignment="1">
      <alignment horizontal="center" vertical="center" wrapText="1"/>
    </xf>
    <xf numFmtId="4" fontId="64" fillId="29" borderId="42" xfId="88" applyNumberFormat="1" applyFont="1" applyFill="1" applyBorder="1" applyAlignment="1">
      <alignment horizontal="center" vertical="center" wrapText="1"/>
    </xf>
    <xf numFmtId="168" fontId="75" fillId="0" borderId="8" xfId="89" applyFont="1" applyBorder="1"/>
    <xf numFmtId="0" fontId="75" fillId="0" borderId="8" xfId="90" applyFont="1" applyBorder="1"/>
    <xf numFmtId="0" fontId="76" fillId="0" borderId="8" xfId="90" applyFont="1" applyBorder="1"/>
    <xf numFmtId="168" fontId="75" fillId="0" borderId="8" xfId="90" applyNumberFormat="1" applyFont="1" applyBorder="1"/>
    <xf numFmtId="0" fontId="76" fillId="0" borderId="0" xfId="90" applyFont="1"/>
    <xf numFmtId="0" fontId="74" fillId="0" borderId="0" xfId="90"/>
    <xf numFmtId="0" fontId="76" fillId="0" borderId="43" xfId="90" applyFont="1" applyBorder="1"/>
    <xf numFmtId="0" fontId="76" fillId="0" borderId="44" xfId="90" applyFont="1" applyBorder="1"/>
    <xf numFmtId="0" fontId="76" fillId="0" borderId="43" xfId="90" applyFont="1" applyBorder="1" applyAlignment="1">
      <alignment vertical="center"/>
    </xf>
    <xf numFmtId="0" fontId="76" fillId="0" borderId="0" xfId="90" applyFont="1" applyAlignment="1">
      <alignment vertical="center"/>
    </xf>
    <xf numFmtId="168" fontId="76" fillId="0" borderId="0" xfId="89" applyFont="1" applyBorder="1" applyAlignment="1">
      <alignment vertical="center"/>
    </xf>
    <xf numFmtId="168" fontId="76" fillId="0" borderId="0" xfId="90" applyNumberFormat="1" applyFont="1" applyAlignment="1">
      <alignment vertical="center"/>
    </xf>
    <xf numFmtId="168" fontId="76" fillId="0" borderId="44" xfId="90" applyNumberFormat="1" applyFont="1" applyBorder="1" applyAlignment="1">
      <alignment vertical="center"/>
    </xf>
    <xf numFmtId="0" fontId="76" fillId="0" borderId="0" xfId="90" applyFont="1" applyAlignment="1">
      <alignment horizontal="left" vertical="center" wrapText="1"/>
    </xf>
    <xf numFmtId="0" fontId="76" fillId="0" borderId="0" xfId="90" applyFont="1" applyAlignment="1">
      <alignment horizontal="left" vertical="top"/>
    </xf>
    <xf numFmtId="0" fontId="74" fillId="0" borderId="0" xfId="90" applyAlignment="1">
      <alignment horizontal="left" vertical="top"/>
    </xf>
    <xf numFmtId="0" fontId="76" fillId="0" borderId="45" xfId="90" applyFont="1" applyBorder="1"/>
    <xf numFmtId="0" fontId="76" fillId="0" borderId="46" xfId="90" applyFont="1" applyBorder="1"/>
    <xf numFmtId="0" fontId="76" fillId="0" borderId="47" xfId="90" applyFont="1" applyBorder="1"/>
    <xf numFmtId="169" fontId="76" fillId="0" borderId="0" xfId="90" applyNumberFormat="1" applyFont="1" applyAlignment="1">
      <alignment vertical="center"/>
    </xf>
    <xf numFmtId="0" fontId="77" fillId="0" borderId="43" xfId="90" applyFont="1" applyBorder="1" applyAlignment="1">
      <alignment vertical="center"/>
    </xf>
    <xf numFmtId="0" fontId="78" fillId="0" borderId="48" xfId="90" applyFont="1" applyBorder="1"/>
    <xf numFmtId="168" fontId="76" fillId="0" borderId="0" xfId="89" applyFont="1" applyBorder="1"/>
    <xf numFmtId="168" fontId="76" fillId="0" borderId="44" xfId="90" applyNumberFormat="1" applyFont="1" applyBorder="1"/>
    <xf numFmtId="169" fontId="76" fillId="0" borderId="0" xfId="89" applyNumberFormat="1" applyFont="1" applyBorder="1"/>
    <xf numFmtId="168" fontId="76" fillId="0" borderId="0" xfId="90" applyNumberFormat="1" applyFont="1"/>
    <xf numFmtId="0" fontId="76" fillId="0" borderId="49" xfId="90" applyFont="1" applyBorder="1"/>
    <xf numFmtId="0" fontId="76" fillId="0" borderId="14" xfId="90" applyFont="1" applyBorder="1"/>
    <xf numFmtId="0" fontId="76" fillId="0" borderId="50" xfId="90" applyFont="1" applyBorder="1"/>
    <xf numFmtId="0" fontId="79" fillId="0" borderId="0" xfId="90" applyFont="1" applyAlignment="1">
      <alignment horizontal="left"/>
    </xf>
    <xf numFmtId="12" fontId="76" fillId="0" borderId="0" xfId="89" applyNumberFormat="1" applyFont="1" applyBorder="1"/>
    <xf numFmtId="0" fontId="75" fillId="31" borderId="8" xfId="90" applyFont="1" applyFill="1" applyBorder="1"/>
    <xf numFmtId="2" fontId="52" fillId="27" borderId="21" xfId="91" applyNumberFormat="1" applyFont="1" applyFill="1" applyBorder="1" applyAlignment="1">
      <alignment horizontal="right" vertical="center" wrapText="1"/>
    </xf>
    <xf numFmtId="0" fontId="53" fillId="27" borderId="22" xfId="91" applyFont="1" applyFill="1" applyBorder="1" applyAlignment="1">
      <alignment vertical="center"/>
    </xf>
    <xf numFmtId="2" fontId="53" fillId="27" borderId="21" xfId="91" applyNumberFormat="1" applyFont="1" applyFill="1" applyBorder="1" applyAlignment="1">
      <alignment horizontal="right" vertical="center" wrapText="1"/>
    </xf>
    <xf numFmtId="0" fontId="52" fillId="27" borderId="22" xfId="91" applyFont="1" applyFill="1" applyBorder="1" applyAlignment="1">
      <alignment vertical="center"/>
    </xf>
    <xf numFmtId="4" fontId="52" fillId="27" borderId="22" xfId="92" applyNumberFormat="1" applyFont="1" applyFill="1" applyBorder="1" applyAlignment="1" applyProtection="1">
      <alignment horizontal="center" vertical="center"/>
    </xf>
    <xf numFmtId="0" fontId="52" fillId="27" borderId="22" xfId="91" applyFont="1" applyFill="1" applyBorder="1" applyAlignment="1">
      <alignment vertical="center" wrapText="1"/>
    </xf>
    <xf numFmtId="0" fontId="52" fillId="28" borderId="22" xfId="91" applyFont="1" applyFill="1" applyBorder="1" applyAlignment="1">
      <alignment vertical="center"/>
    </xf>
    <xf numFmtId="0" fontId="52" fillId="27" borderId="19" xfId="91" applyFont="1" applyFill="1" applyBorder="1" applyAlignment="1">
      <alignment vertical="center" wrapText="1"/>
    </xf>
    <xf numFmtId="2" fontId="52" fillId="27" borderId="21" xfId="91" applyNumberFormat="1" applyFont="1" applyFill="1" applyBorder="1" applyAlignment="1">
      <alignment horizontal="right" vertical="top" wrapText="1"/>
    </xf>
    <xf numFmtId="2" fontId="53" fillId="27" borderId="18" xfId="91" applyNumberFormat="1" applyFont="1" applyFill="1" applyBorder="1" applyAlignment="1">
      <alignment horizontal="right" vertical="center" wrapText="1"/>
    </xf>
    <xf numFmtId="0" fontId="53" fillId="27" borderId="19" xfId="91" applyFont="1" applyFill="1" applyBorder="1" applyAlignment="1">
      <alignment vertical="center"/>
    </xf>
    <xf numFmtId="4" fontId="52" fillId="28" borderId="19" xfId="81" applyNumberFormat="1" applyFont="1" applyFill="1" applyBorder="1" applyAlignment="1" applyProtection="1">
      <alignment horizontal="center" vertical="center"/>
    </xf>
    <xf numFmtId="0" fontId="52" fillId="28" borderId="22" xfId="91" applyFont="1" applyFill="1" applyBorder="1" applyAlignment="1">
      <alignment vertical="center" wrapText="1"/>
    </xf>
    <xf numFmtId="2" fontId="53" fillId="28" borderId="21" xfId="91" applyNumberFormat="1" applyFont="1" applyFill="1" applyBorder="1" applyAlignment="1">
      <alignment horizontal="right" vertical="center" wrapText="1"/>
    </xf>
    <xf numFmtId="0" fontId="53" fillId="27" borderId="22" xfId="91" applyFont="1" applyFill="1" applyBorder="1" applyAlignment="1">
      <alignment vertical="center" wrapText="1"/>
    </xf>
    <xf numFmtId="0" fontId="52" fillId="27" borderId="52" xfId="91" applyFont="1" applyFill="1" applyBorder="1" applyAlignment="1">
      <alignment vertical="center"/>
    </xf>
    <xf numFmtId="39" fontId="53" fillId="27" borderId="20" xfId="91" applyNumberFormat="1" applyFont="1" applyFill="1" applyBorder="1" applyAlignment="1">
      <alignment horizontal="center" vertical="center" wrapText="1"/>
    </xf>
    <xf numFmtId="2" fontId="52" fillId="27" borderId="24" xfId="91" applyNumberFormat="1" applyFont="1" applyFill="1" applyBorder="1" applyAlignment="1">
      <alignment horizontal="right" vertical="center" wrapText="1"/>
    </xf>
    <xf numFmtId="0" fontId="53" fillId="27" borderId="25" xfId="91" applyFont="1" applyFill="1" applyBorder="1" applyAlignment="1">
      <alignment vertical="center"/>
    </xf>
    <xf numFmtId="4" fontId="24" fillId="27" borderId="25" xfId="91" applyNumberFormat="1" applyFont="1" applyFill="1" applyBorder="1" applyAlignment="1">
      <alignment vertical="center"/>
    </xf>
    <xf numFmtId="0" fontId="24" fillId="27" borderId="25" xfId="91" applyFont="1" applyFill="1" applyBorder="1" applyAlignment="1">
      <alignment horizontal="center" vertical="center"/>
    </xf>
    <xf numFmtId="4" fontId="24" fillId="27" borderId="25" xfId="91" applyNumberFormat="1" applyFont="1" applyFill="1" applyBorder="1" applyAlignment="1">
      <alignment horizontal="center" vertical="center"/>
    </xf>
    <xf numFmtId="4" fontId="52" fillId="28" borderId="22" xfId="92" applyNumberFormat="1" applyFont="1" applyFill="1" applyBorder="1" applyAlignment="1" applyProtection="1">
      <alignment horizontal="center" vertical="center"/>
    </xf>
    <xf numFmtId="39" fontId="53" fillId="27" borderId="23" xfId="92" applyNumberFormat="1" applyFont="1" applyFill="1" applyBorder="1" applyAlignment="1" applyProtection="1">
      <alignment horizontal="center" vertical="center"/>
    </xf>
    <xf numFmtId="2" fontId="52" fillId="27" borderId="18" xfId="91" applyNumberFormat="1" applyFont="1" applyFill="1" applyBorder="1" applyAlignment="1">
      <alignment horizontal="right" vertical="center" wrapText="1"/>
    </xf>
    <xf numFmtId="4" fontId="24" fillId="27" borderId="19" xfId="91" applyNumberFormat="1" applyFont="1" applyFill="1" applyBorder="1" applyAlignment="1">
      <alignment vertical="center"/>
    </xf>
    <xf numFmtId="0" fontId="24" fillId="27" borderId="19" xfId="91" applyFont="1" applyFill="1" applyBorder="1" applyAlignment="1">
      <alignment horizontal="center" vertical="center"/>
    </xf>
    <xf numFmtId="4" fontId="24" fillId="27" borderId="19" xfId="91" applyNumberFormat="1" applyFont="1" applyFill="1" applyBorder="1" applyAlignment="1">
      <alignment horizontal="center" vertical="center"/>
    </xf>
    <xf numFmtId="4" fontId="52" fillId="27" borderId="22" xfId="91" applyNumberFormat="1" applyFont="1" applyFill="1" applyBorder="1" applyAlignment="1">
      <alignment horizontal="center" vertical="center"/>
    </xf>
    <xf numFmtId="0" fontId="52" fillId="27" borderId="22" xfId="91" applyFont="1" applyFill="1" applyBorder="1" applyAlignment="1">
      <alignment horizontal="center" vertical="center"/>
    </xf>
    <xf numFmtId="4" fontId="53" fillId="27" borderId="23" xfId="91" applyNumberFormat="1" applyFont="1" applyFill="1" applyBorder="1" applyAlignment="1">
      <alignment horizontal="center" vertical="center"/>
    </xf>
    <xf numFmtId="175" fontId="52" fillId="27" borderId="22" xfId="91" applyNumberFormat="1" applyFont="1" applyFill="1" applyBorder="1" applyAlignment="1">
      <alignment horizontal="center" vertical="center"/>
    </xf>
    <xf numFmtId="4" fontId="53" fillId="27" borderId="22" xfId="91" applyNumberFormat="1" applyFont="1" applyFill="1" applyBorder="1" applyAlignment="1">
      <alignment horizontal="center" vertical="center"/>
    </xf>
    <xf numFmtId="0" fontId="65" fillId="27" borderId="23" xfId="91" applyFont="1" applyFill="1" applyBorder="1" applyAlignment="1">
      <alignment horizontal="center" vertical="center"/>
    </xf>
    <xf numFmtId="183" fontId="52" fillId="27" borderId="22" xfId="91" applyNumberFormat="1" applyFont="1" applyFill="1" applyBorder="1" applyAlignment="1">
      <alignment horizontal="center" vertical="center"/>
    </xf>
    <xf numFmtId="2" fontId="52" fillId="27" borderId="54" xfId="91" applyNumberFormat="1" applyFont="1" applyFill="1" applyBorder="1" applyAlignment="1">
      <alignment horizontal="right" vertical="center" wrapText="1"/>
    </xf>
    <xf numFmtId="4" fontId="52" fillId="27" borderId="52" xfId="91" applyNumberFormat="1" applyFont="1" applyFill="1" applyBorder="1" applyAlignment="1">
      <alignment horizontal="center" vertical="center"/>
    </xf>
    <xf numFmtId="0" fontId="52" fillId="27" borderId="52" xfId="91" applyFont="1" applyFill="1" applyBorder="1" applyAlignment="1">
      <alignment horizontal="center" vertical="center"/>
    </xf>
    <xf numFmtId="175" fontId="52" fillId="27" borderId="52" xfId="91" applyNumberFormat="1" applyFont="1" applyFill="1" applyBorder="1" applyAlignment="1">
      <alignment horizontal="center" vertical="center"/>
    </xf>
    <xf numFmtId="4" fontId="53" fillId="27" borderId="52" xfId="91" applyNumberFormat="1" applyFont="1" applyFill="1" applyBorder="1" applyAlignment="1">
      <alignment horizontal="center" vertical="center"/>
    </xf>
    <xf numFmtId="39" fontId="53" fillId="27" borderId="53" xfId="81" applyNumberFormat="1" applyFont="1" applyFill="1" applyBorder="1" applyAlignment="1" applyProtection="1">
      <alignment horizontal="center" vertical="center"/>
    </xf>
    <xf numFmtId="2" fontId="52" fillId="27" borderId="55" xfId="91" applyNumberFormat="1" applyFont="1" applyFill="1" applyBorder="1" applyAlignment="1">
      <alignment horizontal="right" vertical="center" wrapText="1"/>
    </xf>
    <xf numFmtId="0" fontId="52" fillId="27" borderId="56" xfId="91" applyFont="1" applyFill="1" applyBorder="1" applyAlignment="1">
      <alignment vertical="center"/>
    </xf>
    <xf numFmtId="4" fontId="52" fillId="27" borderId="56" xfId="91" applyNumberFormat="1" applyFont="1" applyFill="1" applyBorder="1" applyAlignment="1">
      <alignment horizontal="center" vertical="center"/>
    </xf>
    <xf numFmtId="0" fontId="52" fillId="27" borderId="56" xfId="91" applyFont="1" applyFill="1" applyBorder="1" applyAlignment="1">
      <alignment horizontal="center" vertical="center"/>
    </xf>
    <xf numFmtId="175" fontId="52" fillId="27" borderId="56" xfId="91" applyNumberFormat="1" applyFont="1" applyFill="1" applyBorder="1" applyAlignment="1">
      <alignment horizontal="center" vertical="center"/>
    </xf>
    <xf numFmtId="4" fontId="53" fillId="27" borderId="56" xfId="91" applyNumberFormat="1" applyFont="1" applyFill="1" applyBorder="1" applyAlignment="1">
      <alignment horizontal="center" vertical="center"/>
    </xf>
    <xf numFmtId="39" fontId="53" fillId="27" borderId="57" xfId="81" applyNumberFormat="1" applyFont="1" applyFill="1" applyBorder="1" applyAlignment="1" applyProtection="1">
      <alignment horizontal="center" vertical="center"/>
    </xf>
    <xf numFmtId="0" fontId="52" fillId="27" borderId="56" xfId="91" applyFont="1" applyFill="1" applyBorder="1" applyAlignment="1">
      <alignment vertical="center" wrapText="1"/>
    </xf>
    <xf numFmtId="39" fontId="53" fillId="27" borderId="57" xfId="91" applyNumberFormat="1" applyFont="1" applyFill="1" applyBorder="1" applyAlignment="1">
      <alignment horizontal="center" vertical="center" wrapText="1"/>
    </xf>
    <xf numFmtId="2" fontId="52" fillId="27" borderId="58" xfId="91" applyNumberFormat="1" applyFont="1" applyFill="1" applyBorder="1" applyAlignment="1">
      <alignment horizontal="right" vertical="center" wrapText="1"/>
    </xf>
    <xf numFmtId="0" fontId="52" fillId="27" borderId="59" xfId="91" applyFont="1" applyFill="1" applyBorder="1" applyAlignment="1">
      <alignment vertical="center" wrapText="1"/>
    </xf>
    <xf numFmtId="0" fontId="52" fillId="27" borderId="59" xfId="91" applyFont="1" applyFill="1" applyBorder="1" applyAlignment="1">
      <alignment vertical="center"/>
    </xf>
    <xf numFmtId="0" fontId="52" fillId="27" borderId="59" xfId="91" applyFont="1" applyFill="1" applyBorder="1" applyAlignment="1">
      <alignment horizontal="center" vertical="center"/>
    </xf>
    <xf numFmtId="175" fontId="52" fillId="27" borderId="59" xfId="91" applyNumberFormat="1" applyFont="1" applyFill="1" applyBorder="1" applyAlignment="1">
      <alignment horizontal="center" vertical="center"/>
    </xf>
    <xf numFmtId="4" fontId="53" fillId="27" borderId="59" xfId="91" applyNumberFormat="1" applyFont="1" applyFill="1" applyBorder="1" applyAlignment="1">
      <alignment horizontal="center" vertical="center"/>
    </xf>
    <xf numFmtId="39" fontId="53" fillId="27" borderId="60" xfId="91" applyNumberFormat="1" applyFont="1" applyFill="1" applyBorder="1" applyAlignment="1">
      <alignment horizontal="center" vertical="center" wrapText="1"/>
    </xf>
    <xf numFmtId="2" fontId="52" fillId="27" borderId="27" xfId="91" applyNumberFormat="1" applyFont="1" applyFill="1" applyBorder="1" applyAlignment="1">
      <alignment horizontal="right" vertical="center" wrapText="1"/>
    </xf>
    <xf numFmtId="0" fontId="53" fillId="27" borderId="28" xfId="91" applyFont="1" applyFill="1" applyBorder="1" applyAlignment="1">
      <alignment vertical="center"/>
    </xf>
    <xf numFmtId="4" fontId="24" fillId="27" borderId="28" xfId="91" applyNumberFormat="1" applyFont="1" applyFill="1" applyBorder="1" applyAlignment="1">
      <alignment vertical="center"/>
    </xf>
    <xf numFmtId="0" fontId="24" fillId="27" borderId="28" xfId="91" applyFont="1" applyFill="1" applyBorder="1" applyAlignment="1">
      <alignment horizontal="center" vertical="center"/>
    </xf>
    <xf numFmtId="4" fontId="24" fillId="27" borderId="28" xfId="91" applyNumberFormat="1" applyFont="1" applyFill="1" applyBorder="1" applyAlignment="1">
      <alignment horizontal="center" vertical="center"/>
    </xf>
    <xf numFmtId="2" fontId="52" fillId="27" borderId="15" xfId="91" applyNumberFormat="1" applyFont="1" applyFill="1" applyBorder="1" applyAlignment="1">
      <alignment horizontal="right" vertical="center" wrapText="1"/>
    </xf>
    <xf numFmtId="0" fontId="53" fillId="27" borderId="0" xfId="91" applyFont="1" applyFill="1" applyAlignment="1">
      <alignment vertical="center"/>
    </xf>
    <xf numFmtId="4" fontId="24" fillId="27" borderId="0" xfId="91" applyNumberFormat="1" applyFont="1" applyFill="1" applyAlignment="1">
      <alignment vertical="center"/>
    </xf>
    <xf numFmtId="0" fontId="24" fillId="27" borderId="0" xfId="91" applyFont="1" applyFill="1" applyAlignment="1">
      <alignment horizontal="center" vertical="center"/>
    </xf>
    <xf numFmtId="4" fontId="24" fillId="27" borderId="0" xfId="91" applyNumberFormat="1" applyFont="1" applyFill="1" applyAlignment="1">
      <alignment horizontal="center" vertical="center"/>
    </xf>
    <xf numFmtId="2" fontId="66" fillId="27" borderId="15" xfId="91" applyNumberFormat="1" applyFont="1" applyFill="1" applyBorder="1" applyAlignment="1">
      <alignment horizontal="right" vertical="center" wrapText="1"/>
    </xf>
    <xf numFmtId="0" fontId="67" fillId="27" borderId="0" xfId="91" applyFont="1" applyFill="1" applyAlignment="1">
      <alignment vertical="center"/>
    </xf>
    <xf numFmtId="4" fontId="66" fillId="27" borderId="0" xfId="91" applyNumberFormat="1" applyFont="1" applyFill="1" applyAlignment="1">
      <alignment vertical="center"/>
    </xf>
    <xf numFmtId="0" fontId="66" fillId="27" borderId="0" xfId="91" applyFont="1" applyFill="1" applyAlignment="1">
      <alignment horizontal="center" vertical="center"/>
    </xf>
    <xf numFmtId="4" fontId="66" fillId="27" borderId="0" xfId="91" applyNumberFormat="1" applyFont="1" applyFill="1" applyAlignment="1">
      <alignment horizontal="center" vertical="center"/>
    </xf>
    <xf numFmtId="4" fontId="66" fillId="27" borderId="16" xfId="91" applyNumberFormat="1" applyFont="1" applyFill="1" applyBorder="1" applyAlignment="1">
      <alignment vertical="center"/>
    </xf>
    <xf numFmtId="2" fontId="62" fillId="27" borderId="15" xfId="91" applyNumberFormat="1" applyFont="1" applyFill="1" applyBorder="1" applyAlignment="1">
      <alignment horizontal="right" vertical="center" wrapText="1"/>
    </xf>
    <xf numFmtId="0" fontId="62" fillId="27" borderId="0" xfId="91" applyFont="1" applyFill="1" applyAlignment="1">
      <alignment vertical="center"/>
    </xf>
    <xf numFmtId="4" fontId="62" fillId="27" borderId="0" xfId="91" applyNumberFormat="1" applyFont="1" applyFill="1" applyAlignment="1">
      <alignment vertical="center"/>
    </xf>
    <xf numFmtId="0" fontId="62" fillId="27" borderId="0" xfId="91" applyFont="1" applyFill="1" applyAlignment="1">
      <alignment horizontal="center" vertical="center"/>
    </xf>
    <xf numFmtId="4" fontId="62" fillId="27" borderId="0" xfId="91" applyNumberFormat="1" applyFont="1" applyFill="1" applyAlignment="1">
      <alignment horizontal="center" vertical="center"/>
    </xf>
    <xf numFmtId="4" fontId="62" fillId="27" borderId="16" xfId="91" applyNumberFormat="1" applyFont="1" applyFill="1" applyBorder="1" applyAlignment="1">
      <alignment vertical="center"/>
    </xf>
    <xf numFmtId="4" fontId="68" fillId="27" borderId="16" xfId="91" applyNumberFormat="1" applyFont="1" applyFill="1" applyBorder="1" applyAlignment="1">
      <alignment vertical="center"/>
    </xf>
    <xf numFmtId="2" fontId="67" fillId="27" borderId="15" xfId="91" applyNumberFormat="1" applyFont="1" applyFill="1" applyBorder="1" applyAlignment="1">
      <alignment horizontal="center"/>
    </xf>
    <xf numFmtId="0" fontId="67" fillId="27" borderId="0" xfId="91" applyFont="1" applyFill="1" applyAlignment="1">
      <alignment horizontal="center"/>
    </xf>
    <xf numFmtId="4" fontId="67" fillId="27" borderId="0" xfId="91" applyNumberFormat="1" applyFont="1" applyFill="1" applyAlignment="1">
      <alignment horizontal="center"/>
    </xf>
    <xf numFmtId="4" fontId="67" fillId="27" borderId="16" xfId="91" applyNumberFormat="1" applyFont="1" applyFill="1" applyBorder="1" applyAlignment="1">
      <alignment horizontal="center"/>
    </xf>
    <xf numFmtId="2" fontId="67" fillId="27" borderId="15" xfId="91" applyNumberFormat="1" applyFont="1" applyFill="1" applyBorder="1" applyAlignment="1">
      <alignment horizontal="center" vertical="center"/>
    </xf>
    <xf numFmtId="0" fontId="67" fillId="27" borderId="0" xfId="91" applyFont="1" applyFill="1" applyAlignment="1">
      <alignment horizontal="center" vertical="center"/>
    </xf>
    <xf numFmtId="0" fontId="14" fillId="0" borderId="0" xfId="91"/>
    <xf numFmtId="2" fontId="14" fillId="0" borderId="0" xfId="91" applyNumberFormat="1"/>
    <xf numFmtId="0" fontId="80" fillId="0" borderId="0" xfId="91" applyFont="1"/>
    <xf numFmtId="167" fontId="14" fillId="0" borderId="0" xfId="91" applyNumberFormat="1"/>
    <xf numFmtId="39" fontId="14" fillId="0" borderId="0" xfId="91" applyNumberFormat="1"/>
    <xf numFmtId="4" fontId="14" fillId="0" borderId="0" xfId="91" applyNumberFormat="1"/>
    <xf numFmtId="0" fontId="65" fillId="0" borderId="0" xfId="91" applyFont="1"/>
    <xf numFmtId="4" fontId="65" fillId="0" borderId="0" xfId="91" applyNumberFormat="1" applyFont="1"/>
    <xf numFmtId="0" fontId="24" fillId="0" borderId="0" xfId="91" applyFont="1"/>
    <xf numFmtId="0" fontId="21" fillId="32" borderId="0" xfId="0" applyFont="1" applyFill="1"/>
    <xf numFmtId="172" fontId="22" fillId="32" borderId="0" xfId="32" applyNumberFormat="1" applyFont="1" applyFill="1"/>
    <xf numFmtId="0" fontId="22" fillId="32" borderId="0" xfId="0" applyFont="1" applyFill="1" applyAlignment="1">
      <alignment horizontal="center"/>
    </xf>
    <xf numFmtId="173" fontId="22" fillId="32" borderId="0" xfId="32" applyNumberFormat="1" applyFont="1" applyFill="1"/>
    <xf numFmtId="4" fontId="22" fillId="32" borderId="0" xfId="32" applyNumberFormat="1" applyFont="1" applyFill="1"/>
    <xf numFmtId="4" fontId="21" fillId="32" borderId="0" xfId="32" applyNumberFormat="1" applyFont="1" applyFill="1"/>
    <xf numFmtId="0" fontId="22" fillId="32" borderId="0" xfId="0" applyFont="1" applyFill="1"/>
    <xf numFmtId="171" fontId="22" fillId="32" borderId="0" xfId="32" applyNumberFormat="1" applyFont="1" applyFill="1"/>
    <xf numFmtId="0" fontId="21" fillId="32" borderId="0" xfId="0" applyFont="1" applyFill="1" applyAlignment="1">
      <alignment horizontal="center"/>
    </xf>
    <xf numFmtId="173" fontId="22" fillId="32" borderId="0" xfId="0" applyNumberFormat="1" applyFont="1" applyFill="1"/>
    <xf numFmtId="4" fontId="21" fillId="32" borderId="0" xfId="32" applyNumberFormat="1" applyFont="1" applyFill="1" applyAlignment="1">
      <alignment horizontal="center"/>
    </xf>
    <xf numFmtId="4" fontId="21" fillId="32" borderId="0" xfId="0" applyNumberFormat="1" applyFont="1" applyFill="1" applyAlignment="1">
      <alignment horizontal="left"/>
    </xf>
    <xf numFmtId="168" fontId="22" fillId="32" borderId="0" xfId="32" applyFont="1" applyFill="1"/>
    <xf numFmtId="4" fontId="52" fillId="28" borderId="51" xfId="92" applyNumberFormat="1" applyFont="1" applyFill="1" applyBorder="1" applyAlignment="1">
      <alignment horizontal="center" vertical="center"/>
    </xf>
    <xf numFmtId="4" fontId="52" fillId="22" borderId="22" xfId="81" applyNumberFormat="1" applyFont="1" applyFill="1" applyBorder="1" applyAlignment="1" applyProtection="1">
      <alignment horizontal="center" vertical="center"/>
    </xf>
    <xf numFmtId="186" fontId="22" fillId="32" borderId="0" xfId="32" applyNumberFormat="1" applyFont="1" applyFill="1"/>
    <xf numFmtId="170" fontId="22" fillId="32" borderId="0" xfId="32" applyNumberFormat="1" applyFont="1" applyFill="1"/>
    <xf numFmtId="4" fontId="21" fillId="32" borderId="0" xfId="0" applyNumberFormat="1" applyFont="1" applyFill="1"/>
    <xf numFmtId="2" fontId="52" fillId="28" borderId="21" xfId="91" applyNumberFormat="1" applyFont="1" applyFill="1" applyBorder="1" applyAlignment="1">
      <alignment horizontal="right" vertical="center" wrapText="1"/>
    </xf>
    <xf numFmtId="0" fontId="53" fillId="28" borderId="22" xfId="91" applyFont="1" applyFill="1" applyBorder="1" applyAlignment="1">
      <alignment vertical="center"/>
    </xf>
    <xf numFmtId="2" fontId="53" fillId="28" borderId="18" xfId="91" applyNumberFormat="1" applyFont="1" applyFill="1" applyBorder="1" applyAlignment="1">
      <alignment horizontal="right" vertical="center" wrapText="1"/>
    </xf>
    <xf numFmtId="0" fontId="53" fillId="28" borderId="19" xfId="91" applyFont="1" applyFill="1" applyBorder="1" applyAlignment="1">
      <alignment vertical="center"/>
    </xf>
    <xf numFmtId="0" fontId="53" fillId="27" borderId="62" xfId="91" applyFont="1" applyFill="1" applyBorder="1" applyAlignment="1">
      <alignment vertical="center" wrapText="1"/>
    </xf>
    <xf numFmtId="172" fontId="22" fillId="22" borderId="0" xfId="32" applyNumberFormat="1" applyFont="1" applyFill="1"/>
    <xf numFmtId="0" fontId="22" fillId="22" borderId="0" xfId="0" applyFont="1" applyFill="1" applyAlignment="1">
      <alignment horizontal="center"/>
    </xf>
    <xf numFmtId="173" fontId="22" fillId="22" borderId="0" xfId="32" applyNumberFormat="1" applyFont="1" applyFill="1"/>
    <xf numFmtId="4" fontId="22" fillId="22" borderId="0" xfId="32" applyNumberFormat="1" applyFont="1" applyFill="1"/>
    <xf numFmtId="0" fontId="22" fillId="22" borderId="0" xfId="0" applyFont="1" applyFill="1"/>
    <xf numFmtId="4" fontId="22" fillId="32" borderId="0" xfId="0" applyNumberFormat="1" applyFont="1" applyFill="1"/>
    <xf numFmtId="2" fontId="52" fillId="27" borderId="61" xfId="91" applyNumberFormat="1" applyFont="1" applyFill="1" applyBorder="1" applyAlignment="1">
      <alignment horizontal="right" vertical="top" wrapText="1"/>
    </xf>
    <xf numFmtId="0" fontId="52" fillId="27" borderId="62" xfId="91" applyFont="1" applyFill="1" applyBorder="1" applyAlignment="1">
      <alignment vertical="center" wrapText="1"/>
    </xf>
    <xf numFmtId="4" fontId="21" fillId="32" borderId="0" xfId="32" applyNumberFormat="1" applyFont="1" applyFill="1" applyAlignment="1">
      <alignment horizontal="right"/>
    </xf>
    <xf numFmtId="0" fontId="52" fillId="27" borderId="19" xfId="91" applyFont="1" applyFill="1" applyBorder="1" applyAlignment="1">
      <alignment vertical="center"/>
    </xf>
    <xf numFmtId="0" fontId="53" fillId="27" borderId="17" xfId="0" applyFont="1" applyFill="1" applyBorder="1" applyAlignment="1">
      <alignment vertical="center"/>
    </xf>
    <xf numFmtId="4" fontId="52" fillId="28" borderId="17" xfId="32" applyNumberFormat="1" applyFont="1" applyFill="1" applyBorder="1" applyAlignment="1" applyProtection="1">
      <alignment horizontal="center" vertical="center"/>
    </xf>
    <xf numFmtId="4" fontId="52" fillId="27" borderId="17" xfId="32" applyNumberFormat="1" applyFont="1" applyFill="1" applyBorder="1" applyAlignment="1" applyProtection="1">
      <alignment horizontal="center" vertical="center"/>
    </xf>
    <xf numFmtId="0" fontId="52" fillId="27" borderId="17" xfId="0" applyFont="1" applyFill="1" applyBorder="1" applyAlignment="1">
      <alignment vertical="top" wrapText="1"/>
    </xf>
    <xf numFmtId="4" fontId="53" fillId="27" borderId="63" xfId="0" applyNumberFormat="1" applyFont="1" applyFill="1" applyBorder="1" applyAlignment="1">
      <alignment horizontal="right" vertical="center" wrapText="1"/>
    </xf>
    <xf numFmtId="39" fontId="53" fillId="27" borderId="64" xfId="0" applyNumberFormat="1" applyFont="1" applyFill="1" applyBorder="1" applyAlignment="1">
      <alignment horizontal="center" vertical="center" wrapText="1"/>
    </xf>
    <xf numFmtId="4" fontId="52" fillId="27" borderId="63" xfId="0" applyNumberFormat="1" applyFont="1" applyFill="1" applyBorder="1" applyAlignment="1">
      <alignment horizontal="right" vertical="center" wrapText="1"/>
    </xf>
    <xf numFmtId="0" fontId="75" fillId="33" borderId="8" xfId="90" applyFont="1" applyFill="1" applyBorder="1"/>
    <xf numFmtId="168" fontId="81" fillId="0" borderId="0" xfId="89" applyFont="1" applyBorder="1"/>
    <xf numFmtId="168" fontId="76" fillId="65" borderId="0" xfId="89" applyFont="1" applyFill="1" applyBorder="1" applyAlignment="1">
      <alignment vertical="center"/>
    </xf>
    <xf numFmtId="0" fontId="75" fillId="0" borderId="0" xfId="90" applyFont="1" applyBorder="1"/>
    <xf numFmtId="0" fontId="76" fillId="0" borderId="0" xfId="90" applyFont="1" applyBorder="1"/>
    <xf numFmtId="168" fontId="75" fillId="0" borderId="0" xfId="89" applyFont="1" applyBorder="1"/>
    <xf numFmtId="0" fontId="75" fillId="21" borderId="8" xfId="90" applyFont="1" applyFill="1" applyBorder="1"/>
    <xf numFmtId="171" fontId="22" fillId="22" borderId="0" xfId="32" applyNumberFormat="1" applyFont="1" applyFill="1"/>
    <xf numFmtId="173" fontId="22" fillId="22" borderId="0" xfId="0" applyNumberFormat="1" applyFont="1" applyFill="1"/>
    <xf numFmtId="0" fontId="14" fillId="0" borderId="0" xfId="91" applyFill="1"/>
    <xf numFmtId="0" fontId="92" fillId="32" borderId="0" xfId="0" applyFont="1" applyFill="1" applyAlignment="1">
      <alignment wrapText="1"/>
    </xf>
    <xf numFmtId="4" fontId="93" fillId="32" borderId="0" xfId="32" applyNumberFormat="1" applyFont="1" applyFill="1" applyBorder="1" applyAlignment="1"/>
    <xf numFmtId="0" fontId="93" fillId="32" borderId="0" xfId="0" applyFont="1" applyFill="1" applyAlignment="1">
      <alignment horizontal="center"/>
    </xf>
    <xf numFmtId="173" fontId="93" fillId="32" borderId="0" xfId="32" applyNumberFormat="1" applyFont="1" applyFill="1" applyBorder="1" applyAlignment="1"/>
    <xf numFmtId="4" fontId="92" fillId="32" borderId="0" xfId="32" applyNumberFormat="1" applyFont="1" applyFill="1" applyBorder="1" applyAlignment="1"/>
    <xf numFmtId="0" fontId="92" fillId="32" borderId="0" xfId="0" applyFont="1" applyFill="1" applyAlignment="1">
      <alignment vertical="center" wrapText="1"/>
    </xf>
    <xf numFmtId="173" fontId="93" fillId="32" borderId="0" xfId="0" applyNumberFormat="1" applyFont="1" applyFill="1"/>
    <xf numFmtId="0" fontId="93" fillId="32" borderId="0" xfId="0" applyFont="1" applyFill="1" applyAlignment="1">
      <alignment wrapText="1"/>
    </xf>
    <xf numFmtId="4" fontId="93" fillId="32" borderId="0" xfId="32" applyNumberFormat="1" applyFont="1" applyFill="1" applyBorder="1" applyAlignment="1">
      <alignment horizontal="right"/>
    </xf>
    <xf numFmtId="168" fontId="93" fillId="32" borderId="0" xfId="32" applyFont="1" applyFill="1" applyBorder="1" applyAlignment="1">
      <alignment horizontal="right"/>
    </xf>
    <xf numFmtId="0" fontId="93" fillId="32" borderId="0" xfId="0" applyFont="1" applyFill="1"/>
    <xf numFmtId="0" fontId="92" fillId="32" borderId="0" xfId="0" applyFont="1" applyFill="1"/>
    <xf numFmtId="4" fontId="71" fillId="32" borderId="0" xfId="0" applyNumberFormat="1" applyFont="1" applyFill="1"/>
    <xf numFmtId="0" fontId="94" fillId="32" borderId="0" xfId="0" applyFont="1" applyFill="1"/>
    <xf numFmtId="0" fontId="71" fillId="32" borderId="0" xfId="0" applyFont="1" applyFill="1"/>
    <xf numFmtId="4" fontId="70" fillId="32" borderId="0" xfId="0" applyNumberFormat="1" applyFont="1" applyFill="1"/>
    <xf numFmtId="4" fontId="70" fillId="32" borderId="0" xfId="0" applyNumberFormat="1" applyFont="1" applyFill="1" applyAlignment="1">
      <alignment horizontal="right"/>
    </xf>
    <xf numFmtId="168" fontId="81" fillId="0" borderId="0" xfId="90" applyNumberFormat="1" applyFont="1" applyAlignment="1">
      <alignment vertical="center"/>
    </xf>
    <xf numFmtId="0" fontId="81" fillId="0" borderId="0" xfId="90" applyFont="1"/>
    <xf numFmtId="168" fontId="81" fillId="0" borderId="44" xfId="90" applyNumberFormat="1" applyFont="1" applyBorder="1" applyAlignment="1">
      <alignment vertical="center"/>
    </xf>
    <xf numFmtId="0" fontId="75" fillId="0" borderId="65" xfId="90" applyFont="1" applyBorder="1"/>
    <xf numFmtId="0" fontId="76" fillId="0" borderId="65" xfId="90" applyFont="1" applyBorder="1"/>
    <xf numFmtId="168" fontId="75" fillId="0" borderId="65" xfId="89" applyFont="1" applyBorder="1"/>
    <xf numFmtId="0" fontId="12" fillId="0" borderId="0" xfId="91" applyFont="1"/>
    <xf numFmtId="0" fontId="52" fillId="0" borderId="19" xfId="91" applyFont="1" applyFill="1" applyBorder="1" applyAlignment="1">
      <alignment vertical="center" wrapText="1"/>
    </xf>
    <xf numFmtId="4" fontId="52" fillId="0" borderId="19" xfId="81" applyNumberFormat="1" applyFont="1" applyFill="1" applyBorder="1" applyAlignment="1" applyProtection="1">
      <alignment horizontal="center" vertical="center"/>
    </xf>
    <xf numFmtId="4" fontId="52" fillId="0" borderId="22" xfId="81" applyNumberFormat="1" applyFont="1" applyFill="1" applyBorder="1" applyAlignment="1" applyProtection="1">
      <alignment horizontal="center" vertical="center"/>
    </xf>
    <xf numFmtId="0" fontId="76" fillId="21" borderId="0" xfId="90" applyFont="1" applyFill="1" applyAlignment="1">
      <alignment horizontal="left" vertical="top"/>
    </xf>
    <xf numFmtId="167" fontId="76" fillId="0" borderId="0" xfId="213" applyFont="1" applyAlignment="1">
      <alignment horizontal="left" vertical="top"/>
    </xf>
    <xf numFmtId="0" fontId="11" fillId="0" borderId="0" xfId="91" applyFont="1"/>
    <xf numFmtId="167" fontId="97" fillId="21" borderId="0" xfId="213" applyFont="1" applyFill="1" applyAlignment="1">
      <alignment horizontal="left" vertical="top"/>
    </xf>
    <xf numFmtId="193" fontId="65" fillId="0" borderId="0" xfId="91" applyNumberFormat="1" applyFont="1"/>
    <xf numFmtId="4" fontId="52" fillId="27" borderId="22" xfId="81" applyNumberFormat="1" applyFont="1" applyFill="1" applyBorder="1" applyAlignment="1" applyProtection="1">
      <alignment horizontal="center" vertical="center" wrapText="1"/>
    </xf>
    <xf numFmtId="4" fontId="52" fillId="28" borderId="22" xfId="81" applyNumberFormat="1" applyFont="1" applyFill="1" applyBorder="1" applyAlignment="1" applyProtection="1">
      <alignment horizontal="center" vertical="center" wrapText="1"/>
    </xf>
    <xf numFmtId="4" fontId="52" fillId="66" borderId="22" xfId="81" applyNumberFormat="1" applyFont="1" applyFill="1" applyBorder="1" applyAlignment="1" applyProtection="1">
      <alignment horizontal="center" vertical="center"/>
    </xf>
    <xf numFmtId="181" fontId="53" fillId="27" borderId="21" xfId="91" applyNumberFormat="1" applyFont="1" applyFill="1" applyBorder="1" applyAlignment="1">
      <alignment horizontal="right" vertical="top" wrapText="1"/>
    </xf>
    <xf numFmtId="181" fontId="53" fillId="27" borderId="61" xfId="91" applyNumberFormat="1" applyFont="1" applyFill="1" applyBorder="1" applyAlignment="1">
      <alignment horizontal="right" vertical="top" wrapText="1"/>
    </xf>
    <xf numFmtId="0" fontId="52" fillId="0" borderId="71" xfId="0" applyFont="1" applyBorder="1" applyAlignment="1">
      <alignment horizontal="left" wrapText="1"/>
    </xf>
    <xf numFmtId="0" fontId="52" fillId="0" borderId="71" xfId="0" applyFont="1" applyFill="1" applyBorder="1" applyAlignment="1">
      <alignment horizontal="left" vertical="top" wrapText="1"/>
    </xf>
    <xf numFmtId="0" fontId="52" fillId="0" borderId="71" xfId="0" applyFont="1" applyBorder="1" applyAlignment="1">
      <alignment horizontal="left" vertical="top" wrapText="1"/>
    </xf>
    <xf numFmtId="0" fontId="52" fillId="0" borderId="7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71" xfId="0" applyFont="1" applyBorder="1" applyAlignment="1">
      <alignment vertical="center"/>
    </xf>
    <xf numFmtId="4" fontId="52" fillId="0" borderId="71" xfId="0" applyNumberFormat="1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2" fontId="52" fillId="0" borderId="71" xfId="0" applyNumberFormat="1" applyFont="1" applyFill="1" applyBorder="1" applyAlignment="1">
      <alignment horizontal="center" vertical="center"/>
    </xf>
    <xf numFmtId="4" fontId="52" fillId="0" borderId="73" xfId="0" applyNumberFormat="1" applyFont="1" applyFill="1" applyBorder="1" applyAlignment="1">
      <alignment horizontal="center" vertical="center"/>
    </xf>
    <xf numFmtId="2" fontId="52" fillId="0" borderId="72" xfId="0" applyNumberFormat="1" applyFont="1" applyFill="1" applyBorder="1" applyAlignment="1">
      <alignment horizontal="center" vertical="center"/>
    </xf>
    <xf numFmtId="2" fontId="52" fillId="0" borderId="71" xfId="0" applyNumberFormat="1" applyFont="1" applyBorder="1" applyAlignment="1">
      <alignment horizontal="center" vertical="center"/>
    </xf>
    <xf numFmtId="4" fontId="52" fillId="0" borderId="71" xfId="0" applyNumberFormat="1" applyFont="1" applyFill="1" applyBorder="1" applyAlignment="1">
      <alignment horizontal="center" vertical="center"/>
    </xf>
    <xf numFmtId="4" fontId="52" fillId="0" borderId="72" xfId="0" applyNumberFormat="1" applyFont="1" applyFill="1" applyBorder="1"/>
    <xf numFmtId="4" fontId="52" fillId="0" borderId="72" xfId="0" applyNumberFormat="1" applyFont="1" applyFill="1" applyBorder="1" applyAlignment="1">
      <alignment horizontal="center" vertical="center"/>
    </xf>
    <xf numFmtId="0" fontId="76" fillId="0" borderId="8" xfId="90" applyFont="1" applyBorder="1" applyAlignment="1">
      <alignment horizontal="center"/>
    </xf>
    <xf numFmtId="0" fontId="76" fillId="0" borderId="0" xfId="90" applyFont="1" applyAlignment="1">
      <alignment horizontal="center"/>
    </xf>
    <xf numFmtId="0" fontId="76" fillId="0" borderId="0" xfId="90" applyFont="1" applyAlignment="1">
      <alignment horizontal="center" vertical="center"/>
    </xf>
    <xf numFmtId="0" fontId="76" fillId="0" borderId="46" xfId="90" applyFont="1" applyBorder="1" applyAlignment="1">
      <alignment horizontal="center"/>
    </xf>
    <xf numFmtId="0" fontId="76" fillId="0" borderId="0" xfId="90" applyFont="1" applyAlignment="1">
      <alignment horizontal="center" vertical="top"/>
    </xf>
    <xf numFmtId="0" fontId="76" fillId="0" borderId="0" xfId="90" applyFont="1" applyBorder="1" applyAlignment="1">
      <alignment horizontal="center"/>
    </xf>
    <xf numFmtId="0" fontId="74" fillId="0" borderId="0" xfId="90" applyAlignment="1">
      <alignment horizontal="center" vertical="top"/>
    </xf>
    <xf numFmtId="0" fontId="76" fillId="0" borderId="65" xfId="90" applyFont="1" applyBorder="1" applyAlignment="1">
      <alignment horizontal="center"/>
    </xf>
    <xf numFmtId="4" fontId="71" fillId="32" borderId="0" xfId="0" applyNumberFormat="1" applyFont="1" applyFill="1" applyAlignment="1">
      <alignment horizontal="center"/>
    </xf>
    <xf numFmtId="0" fontId="76" fillId="0" borderId="14" xfId="90" applyFont="1" applyBorder="1" applyAlignment="1">
      <alignment horizontal="center"/>
    </xf>
    <xf numFmtId="0" fontId="76" fillId="0" borderId="8" xfId="90" applyFont="1" applyBorder="1" applyAlignment="1">
      <alignment horizontal="center" vertical="top"/>
    </xf>
    <xf numFmtId="0" fontId="81" fillId="0" borderId="0" xfId="90" applyFont="1" applyAlignment="1">
      <alignment horizontal="center"/>
    </xf>
    <xf numFmtId="168" fontId="76" fillId="0" borderId="0" xfId="90" applyNumberFormat="1" applyFont="1" applyAlignment="1">
      <alignment horizontal="center" vertical="center"/>
    </xf>
    <xf numFmtId="169" fontId="76" fillId="0" borderId="0" xfId="90" applyNumberFormat="1" applyFont="1" applyAlignment="1">
      <alignment horizontal="center" vertical="center"/>
    </xf>
    <xf numFmtId="0" fontId="99" fillId="0" borderId="11" xfId="90" applyFont="1" applyBorder="1" applyAlignment="1">
      <alignment horizontal="left" vertical="center"/>
    </xf>
    <xf numFmtId="0" fontId="100" fillId="0" borderId="0" xfId="90" applyFont="1" applyAlignment="1">
      <alignment horizontal="right" vertical="center"/>
    </xf>
    <xf numFmtId="0" fontId="100" fillId="0" borderId="0" xfId="90" applyFont="1" applyAlignment="1">
      <alignment horizontal="center" vertical="center"/>
    </xf>
    <xf numFmtId="0" fontId="100" fillId="0" borderId="11" xfId="90" applyFont="1" applyBorder="1" applyAlignment="1">
      <alignment vertical="center"/>
    </xf>
    <xf numFmtId="0" fontId="99" fillId="0" borderId="11" xfId="90" quotePrefix="1" applyFont="1" applyBorder="1" applyAlignment="1">
      <alignment horizontal="left" vertical="center"/>
    </xf>
    <xf numFmtId="0" fontId="100" fillId="0" borderId="11" xfId="90" quotePrefix="1" applyFont="1" applyBorder="1" applyAlignment="1">
      <alignment horizontal="left" vertical="center"/>
    </xf>
    <xf numFmtId="172" fontId="100" fillId="0" borderId="11" xfId="90" applyNumberFormat="1" applyFont="1" applyBorder="1" applyAlignment="1" applyProtection="1">
      <alignment horizontal="right" vertical="center"/>
      <protection locked="0"/>
    </xf>
    <xf numFmtId="0" fontId="100" fillId="0" borderId="11" xfId="90" applyFont="1" applyBorder="1" applyAlignment="1">
      <alignment horizontal="center" vertical="center"/>
    </xf>
    <xf numFmtId="4" fontId="100" fillId="0" borderId="11" xfId="90" applyNumberFormat="1" applyFont="1" applyBorder="1" applyAlignment="1" applyProtection="1">
      <alignment horizontal="center" vertical="center"/>
      <protection locked="0"/>
    </xf>
    <xf numFmtId="4" fontId="100" fillId="0" borderId="11" xfId="90" applyNumberFormat="1" applyFont="1" applyBorder="1" applyAlignment="1" applyProtection="1">
      <alignment horizontal="right" vertical="center"/>
      <protection locked="0"/>
    </xf>
    <xf numFmtId="2" fontId="100" fillId="0" borderId="11" xfId="90" applyNumberFormat="1" applyFont="1" applyBorder="1" applyAlignment="1">
      <alignment horizontal="right" vertical="center"/>
    </xf>
    <xf numFmtId="0" fontId="100" fillId="0" borderId="11" xfId="90" applyFont="1" applyBorder="1" applyAlignment="1">
      <alignment horizontal="right" vertical="center"/>
    </xf>
    <xf numFmtId="4" fontId="100" fillId="0" borderId="11" xfId="90" applyNumberFormat="1" applyFont="1" applyBorder="1" applyAlignment="1">
      <alignment horizontal="center" vertical="center"/>
    </xf>
    <xf numFmtId="169" fontId="100" fillId="0" borderId="11" xfId="90" applyNumberFormat="1" applyFont="1" applyBorder="1" applyAlignment="1" applyProtection="1">
      <alignment horizontal="right" vertical="center"/>
      <protection locked="0"/>
    </xf>
    <xf numFmtId="2" fontId="100" fillId="0" borderId="11" xfId="90" applyNumberFormat="1" applyFont="1" applyBorder="1" applyAlignment="1" applyProtection="1">
      <alignment horizontal="right" vertical="center"/>
      <protection locked="0"/>
    </xf>
    <xf numFmtId="0" fontId="100" fillId="0" borderId="0" xfId="90" applyFont="1" applyAlignment="1">
      <alignment vertical="center"/>
    </xf>
    <xf numFmtId="2" fontId="100" fillId="0" borderId="12" xfId="90" applyNumberFormat="1" applyFont="1" applyBorder="1" applyAlignment="1">
      <alignment horizontal="right" vertical="center"/>
    </xf>
    <xf numFmtId="0" fontId="101" fillId="0" borderId="0" xfId="90" applyFont="1"/>
    <xf numFmtId="0" fontId="101" fillId="0" borderId="0" xfId="90" applyFont="1" applyAlignment="1">
      <alignment horizontal="center"/>
    </xf>
    <xf numFmtId="0" fontId="73" fillId="27" borderId="0" xfId="214" applyFont="1" applyFill="1" applyBorder="1" applyAlignment="1">
      <alignment vertical="center" wrapText="1"/>
    </xf>
    <xf numFmtId="0" fontId="52" fillId="27" borderId="12" xfId="58" applyFont="1" applyFill="1" applyBorder="1" applyAlignment="1">
      <alignment horizontal="left" vertical="center" wrapText="1"/>
    </xf>
    <xf numFmtId="0" fontId="6" fillId="22" borderId="0" xfId="657" applyFill="1"/>
    <xf numFmtId="0" fontId="6" fillId="0" borderId="0" xfId="657"/>
    <xf numFmtId="4" fontId="72" fillId="28" borderId="0" xfId="657" applyNumberFormat="1" applyFont="1" applyFill="1" applyAlignment="1">
      <alignment vertical="center"/>
    </xf>
    <xf numFmtId="4" fontId="73" fillId="28" borderId="0" xfId="657" applyNumberFormat="1" applyFont="1" applyFill="1" applyAlignment="1">
      <alignment vertical="center"/>
    </xf>
    <xf numFmtId="0" fontId="52" fillId="27" borderId="12" xfId="658" applyFont="1" applyFill="1" applyBorder="1" applyAlignment="1">
      <alignment vertical="top" wrapText="1"/>
    </xf>
    <xf numFmtId="167" fontId="6" fillId="0" borderId="0" xfId="658" applyNumberFormat="1"/>
    <xf numFmtId="0" fontId="6" fillId="0" borderId="0" xfId="658"/>
    <xf numFmtId="0" fontId="52" fillId="27" borderId="12" xfId="658" applyFont="1" applyFill="1" applyBorder="1" applyAlignment="1">
      <alignment vertical="center" wrapText="1"/>
    </xf>
    <xf numFmtId="167" fontId="0" fillId="0" borderId="0" xfId="660" applyFont="1"/>
    <xf numFmtId="0" fontId="24" fillId="0" borderId="0" xfId="657" applyFont="1" applyAlignment="1">
      <alignment vertical="center"/>
    </xf>
    <xf numFmtId="4" fontId="24" fillId="0" borderId="0" xfId="657" applyNumberFormat="1" applyFont="1" applyAlignment="1">
      <alignment vertical="center"/>
    </xf>
    <xf numFmtId="0" fontId="24" fillId="0" borderId="0" xfId="657" applyFont="1" applyAlignment="1">
      <alignment horizontal="center" vertical="center"/>
    </xf>
    <xf numFmtId="4" fontId="24" fillId="0" borderId="0" xfId="657" applyNumberFormat="1" applyFont="1" applyAlignment="1">
      <alignment horizontal="center" vertical="center"/>
    </xf>
    <xf numFmtId="4" fontId="68" fillId="0" borderId="0" xfId="657" applyNumberFormat="1" applyFont="1" applyAlignment="1">
      <alignment vertical="center"/>
    </xf>
    <xf numFmtId="0" fontId="6" fillId="0" borderId="0" xfId="657" applyBorder="1"/>
    <xf numFmtId="39" fontId="6" fillId="0" borderId="0" xfId="658" applyNumberFormat="1" applyBorder="1"/>
    <xf numFmtId="0" fontId="6" fillId="0" borderId="0" xfId="658" applyBorder="1"/>
    <xf numFmtId="4" fontId="73" fillId="28" borderId="0" xfId="657" applyNumberFormat="1" applyFont="1" applyFill="1" applyBorder="1" applyAlignment="1">
      <alignment vertical="center"/>
    </xf>
    <xf numFmtId="0" fontId="24" fillId="22" borderId="0" xfId="657" applyFont="1" applyFill="1" applyBorder="1" applyAlignment="1">
      <alignment vertical="center"/>
    </xf>
    <xf numFmtId="4" fontId="24" fillId="22" borderId="0" xfId="657" applyNumberFormat="1" applyFont="1" applyFill="1" applyBorder="1" applyAlignment="1">
      <alignment vertical="center"/>
    </xf>
    <xf numFmtId="0" fontId="24" fillId="22" borderId="0" xfId="657" applyFont="1" applyFill="1" applyBorder="1" applyAlignment="1">
      <alignment horizontal="center" vertical="center"/>
    </xf>
    <xf numFmtId="4" fontId="24" fillId="22" borderId="0" xfId="657" applyNumberFormat="1" applyFont="1" applyFill="1" applyBorder="1" applyAlignment="1">
      <alignment horizontal="center" vertical="center"/>
    </xf>
    <xf numFmtId="0" fontId="24" fillId="29" borderId="0" xfId="657" applyFont="1" applyFill="1" applyBorder="1" applyAlignment="1">
      <alignment vertical="center"/>
    </xf>
    <xf numFmtId="4" fontId="24" fillId="29" borderId="0" xfId="657" applyNumberFormat="1" applyFont="1" applyFill="1" applyBorder="1" applyAlignment="1">
      <alignment vertical="center"/>
    </xf>
    <xf numFmtId="0" fontId="24" fillId="29" borderId="0" xfId="657" applyFont="1" applyFill="1" applyBorder="1" applyAlignment="1">
      <alignment horizontal="center" vertical="center"/>
    </xf>
    <xf numFmtId="4" fontId="24" fillId="29" borderId="0" xfId="657" applyNumberFormat="1" applyFont="1" applyFill="1" applyBorder="1" applyAlignment="1">
      <alignment horizontal="center" vertical="center"/>
    </xf>
    <xf numFmtId="0" fontId="73" fillId="27" borderId="0" xfId="657" applyFont="1" applyFill="1" applyBorder="1" applyAlignment="1">
      <alignment vertical="center" wrapText="1"/>
    </xf>
    <xf numFmtId="4" fontId="24" fillId="22" borderId="0" xfId="658" applyNumberFormat="1" applyFont="1" applyFill="1" applyBorder="1" applyAlignment="1">
      <alignment vertical="center"/>
    </xf>
    <xf numFmtId="0" fontId="24" fillId="22" borderId="0" xfId="658" applyFont="1" applyFill="1" applyBorder="1" applyAlignment="1">
      <alignment horizontal="center" vertical="center"/>
    </xf>
    <xf numFmtId="4" fontId="24" fillId="22" borderId="0" xfId="658" applyNumberFormat="1" applyFont="1" applyFill="1" applyBorder="1" applyAlignment="1">
      <alignment horizontal="center" vertical="center"/>
    </xf>
    <xf numFmtId="0" fontId="62" fillId="22" borderId="0" xfId="658" applyFont="1" applyFill="1" applyBorder="1" applyAlignment="1">
      <alignment vertical="center"/>
    </xf>
    <xf numFmtId="39" fontId="6" fillId="0" borderId="0" xfId="658" applyNumberFormat="1"/>
    <xf numFmtId="0" fontId="4" fillId="0" borderId="0" xfId="657" applyFont="1"/>
    <xf numFmtId="0" fontId="3" fillId="0" borderId="0" xfId="657" applyFont="1"/>
    <xf numFmtId="0" fontId="2" fillId="0" borderId="0" xfId="657" applyFont="1" applyBorder="1"/>
    <xf numFmtId="0" fontId="1" fillId="0" borderId="0" xfId="657" applyFont="1" applyBorder="1"/>
    <xf numFmtId="0" fontId="103" fillId="27" borderId="12" xfId="658" applyFont="1" applyFill="1" applyBorder="1" applyAlignment="1">
      <alignment vertical="top" wrapText="1"/>
    </xf>
    <xf numFmtId="0" fontId="52" fillId="27" borderId="12" xfId="658" applyFont="1" applyFill="1" applyBorder="1" applyAlignment="1">
      <alignment horizontal="left" vertical="center" wrapText="1"/>
    </xf>
    <xf numFmtId="0" fontId="67" fillId="22" borderId="0" xfId="658" applyFont="1" applyFill="1" applyBorder="1" applyAlignment="1">
      <alignment horizontal="center" vertical="center"/>
    </xf>
    <xf numFmtId="0" fontId="67" fillId="22" borderId="0" xfId="658" applyFont="1" applyFill="1" applyBorder="1" applyAlignment="1">
      <alignment horizontal="center"/>
    </xf>
    <xf numFmtId="4" fontId="67" fillId="22" borderId="0" xfId="658" applyNumberFormat="1" applyFont="1" applyFill="1" applyBorder="1" applyAlignment="1">
      <alignment horizontal="center"/>
    </xf>
    <xf numFmtId="4" fontId="68" fillId="22" borderId="0" xfId="657" applyNumberFormat="1" applyFont="1" applyFill="1" applyBorder="1" applyAlignment="1">
      <alignment vertical="center"/>
    </xf>
    <xf numFmtId="4" fontId="68" fillId="29" borderId="0" xfId="657" applyNumberFormat="1" applyFont="1" applyFill="1" applyBorder="1" applyAlignment="1">
      <alignment vertical="center"/>
    </xf>
    <xf numFmtId="2" fontId="52" fillId="27" borderId="88" xfId="658" applyNumberFormat="1" applyFont="1" applyFill="1" applyBorder="1" applyAlignment="1">
      <alignment vertical="center" wrapText="1"/>
    </xf>
    <xf numFmtId="2" fontId="52" fillId="27" borderId="88" xfId="658" applyNumberFormat="1" applyFont="1" applyFill="1" applyBorder="1" applyAlignment="1">
      <alignment vertical="top" wrapText="1"/>
    </xf>
    <xf numFmtId="2" fontId="52" fillId="27" borderId="15" xfId="658" applyNumberFormat="1" applyFont="1" applyFill="1" applyBorder="1" applyAlignment="1">
      <alignment vertical="top" wrapText="1"/>
    </xf>
    <xf numFmtId="4" fontId="68" fillId="22" borderId="16" xfId="658" applyNumberFormat="1" applyFont="1" applyFill="1" applyBorder="1" applyAlignment="1">
      <alignment vertical="center"/>
    </xf>
    <xf numFmtId="4" fontId="67" fillId="22" borderId="16" xfId="658" applyNumberFormat="1" applyFont="1" applyFill="1" applyBorder="1" applyAlignment="1">
      <alignment horizontal="center"/>
    </xf>
    <xf numFmtId="0" fontId="67" fillId="22" borderId="16" xfId="658" applyFont="1" applyFill="1" applyBorder="1" applyAlignment="1">
      <alignment horizontal="center" vertical="center"/>
    </xf>
    <xf numFmtId="0" fontId="52" fillId="27" borderId="93" xfId="658" applyFont="1" applyFill="1" applyBorder="1" applyAlignment="1">
      <alignment vertical="top" wrapText="1"/>
    </xf>
    <xf numFmtId="0" fontId="53" fillId="27" borderId="12" xfId="658" applyFont="1" applyFill="1" applyBorder="1" applyAlignment="1">
      <alignment vertical="center" wrapText="1"/>
    </xf>
    <xf numFmtId="2" fontId="52" fillId="27" borderId="95" xfId="658" applyNumberFormat="1" applyFont="1" applyFill="1" applyBorder="1" applyAlignment="1">
      <alignment vertical="center" wrapText="1"/>
    </xf>
    <xf numFmtId="0" fontId="52" fillId="27" borderId="96" xfId="658" applyFont="1" applyFill="1" applyBorder="1" applyAlignment="1">
      <alignment vertical="top" wrapText="1"/>
    </xf>
    <xf numFmtId="2" fontId="61" fillId="28" borderId="0" xfId="657" applyNumberFormat="1" applyFont="1" applyFill="1" applyBorder="1" applyAlignment="1">
      <alignment vertical="top"/>
    </xf>
    <xf numFmtId="2" fontId="24" fillId="22" borderId="0" xfId="657" applyNumberFormat="1" applyFont="1" applyFill="1" applyBorder="1" applyAlignment="1">
      <alignment vertical="center" wrapText="1"/>
    </xf>
    <xf numFmtId="2" fontId="24" fillId="29" borderId="0" xfId="657" applyNumberFormat="1" applyFont="1" applyFill="1" applyBorder="1" applyAlignment="1">
      <alignment vertical="center" wrapText="1"/>
    </xf>
    <xf numFmtId="2" fontId="62" fillId="27" borderId="0" xfId="657" applyNumberFormat="1" applyFont="1" applyFill="1" applyBorder="1" applyAlignment="1">
      <alignment vertical="top" wrapText="1"/>
    </xf>
    <xf numFmtId="2" fontId="62" fillId="27" borderId="39" xfId="657" applyNumberFormat="1" applyFont="1" applyFill="1" applyBorder="1" applyAlignment="1">
      <alignment vertical="top" wrapText="1"/>
    </xf>
    <xf numFmtId="2" fontId="52" fillId="27" borderId="92" xfId="658" applyNumberFormat="1" applyFont="1" applyFill="1" applyBorder="1" applyAlignment="1">
      <alignment vertical="center" wrapText="1"/>
    </xf>
    <xf numFmtId="2" fontId="53" fillId="27" borderId="88" xfId="658" applyNumberFormat="1" applyFont="1" applyFill="1" applyBorder="1" applyAlignment="1">
      <alignment vertical="center" wrapText="1"/>
    </xf>
    <xf numFmtId="2" fontId="53" fillId="27" borderId="88" xfId="658" applyNumberFormat="1" applyFont="1" applyFill="1" applyBorder="1" applyAlignment="1">
      <alignment vertical="top" wrapText="1"/>
    </xf>
    <xf numFmtId="2" fontId="52" fillId="28" borderId="88" xfId="658" applyNumberFormat="1" applyFont="1" applyFill="1" applyBorder="1" applyAlignment="1">
      <alignment vertical="center" wrapText="1"/>
    </xf>
    <xf numFmtId="2" fontId="52" fillId="0" borderId="24" xfId="658" applyNumberFormat="1" applyFont="1" applyFill="1" applyBorder="1" applyAlignment="1">
      <alignment vertical="center" wrapText="1"/>
    </xf>
    <xf numFmtId="2" fontId="52" fillId="0" borderId="18" xfId="658" applyNumberFormat="1" applyFont="1" applyFill="1" applyBorder="1" applyAlignment="1">
      <alignment vertical="center" wrapText="1"/>
    </xf>
    <xf numFmtId="2" fontId="52" fillId="0" borderId="21" xfId="658" applyNumberFormat="1" applyFont="1" applyFill="1" applyBorder="1" applyAlignment="1">
      <alignment vertical="center" wrapText="1"/>
    </xf>
    <xf numFmtId="2" fontId="52" fillId="0" borderId="27" xfId="658" applyNumberFormat="1" applyFont="1" applyFill="1" applyBorder="1" applyAlignment="1">
      <alignment vertical="center" wrapText="1"/>
    </xf>
    <xf numFmtId="2" fontId="62" fillId="22" borderId="15" xfId="658" applyNumberFormat="1" applyFont="1" applyFill="1" applyBorder="1" applyAlignment="1">
      <alignment vertical="center" wrapText="1"/>
    </xf>
    <xf numFmtId="0" fontId="67" fillId="22" borderId="15" xfId="658" applyFont="1" applyFill="1" applyBorder="1" applyAlignment="1"/>
    <xf numFmtId="0" fontId="67" fillId="22" borderId="15" xfId="658" applyFont="1" applyFill="1" applyBorder="1" applyAlignment="1">
      <alignment vertical="center"/>
    </xf>
    <xf numFmtId="2" fontId="24" fillId="0" borderId="0" xfId="657" applyNumberFormat="1" applyFont="1" applyAlignment="1">
      <alignment vertical="center" wrapText="1"/>
    </xf>
    <xf numFmtId="0" fontId="103" fillId="27" borderId="12" xfId="658" applyFont="1" applyFill="1" applyBorder="1" applyAlignment="1">
      <alignment vertical="center" wrapText="1"/>
    </xf>
    <xf numFmtId="0" fontId="67" fillId="22" borderId="15" xfId="658" applyFont="1" applyFill="1" applyBorder="1" applyAlignment="1">
      <alignment horizontal="center" vertical="center"/>
    </xf>
    <xf numFmtId="0" fontId="67" fillId="22" borderId="0" xfId="658" applyFont="1" applyFill="1" applyBorder="1" applyAlignment="1">
      <alignment horizontal="center" vertical="center"/>
    </xf>
    <xf numFmtId="0" fontId="67" fillId="22" borderId="16" xfId="658" applyFont="1" applyFill="1" applyBorder="1" applyAlignment="1">
      <alignment horizontal="center" vertical="center"/>
    </xf>
    <xf numFmtId="0" fontId="67" fillId="22" borderId="0" xfId="658" applyFont="1" applyFill="1" applyBorder="1" applyAlignment="1">
      <alignment horizontal="center"/>
    </xf>
    <xf numFmtId="4" fontId="67" fillId="22" borderId="0" xfId="658" applyNumberFormat="1" applyFont="1" applyFill="1" applyBorder="1" applyAlignment="1">
      <alignment horizontal="center"/>
    </xf>
    <xf numFmtId="4" fontId="67" fillId="22" borderId="16" xfId="658" applyNumberFormat="1" applyFont="1" applyFill="1" applyBorder="1" applyAlignment="1">
      <alignment horizontal="center"/>
    </xf>
    <xf numFmtId="4" fontId="67" fillId="22" borderId="0" xfId="658" applyNumberFormat="1" applyFont="1" applyFill="1" applyBorder="1" applyAlignment="1">
      <alignment horizontal="center" vertical="center"/>
    </xf>
    <xf numFmtId="4" fontId="67" fillId="22" borderId="16" xfId="658" applyNumberFormat="1" applyFont="1" applyFill="1" applyBorder="1" applyAlignment="1">
      <alignment horizontal="center" vertical="center"/>
    </xf>
    <xf numFmtId="4" fontId="6" fillId="0" borderId="0" xfId="657" applyNumberFormat="1"/>
    <xf numFmtId="2" fontId="52" fillId="0" borderId="15" xfId="658" applyNumberFormat="1" applyFont="1" applyFill="1" applyBorder="1" applyAlignment="1">
      <alignment vertical="center" wrapText="1"/>
    </xf>
    <xf numFmtId="0" fontId="52" fillId="27" borderId="98" xfId="658" applyFont="1" applyFill="1" applyBorder="1" applyAlignment="1">
      <alignment vertical="center" wrapText="1"/>
    </xf>
    <xf numFmtId="2" fontId="52" fillId="0" borderId="88" xfId="658" applyNumberFormat="1" applyFont="1" applyFill="1" applyBorder="1" applyAlignment="1">
      <alignment vertical="center" wrapText="1"/>
    </xf>
    <xf numFmtId="0" fontId="52" fillId="0" borderId="12" xfId="658" applyFont="1" applyFill="1" applyBorder="1" applyAlignment="1">
      <alignment vertical="center" wrapText="1"/>
    </xf>
    <xf numFmtId="39" fontId="53" fillId="0" borderId="89" xfId="658" applyNumberFormat="1" applyFont="1" applyFill="1" applyBorder="1" applyAlignment="1">
      <alignment horizontal="center" vertical="center" wrapText="1"/>
    </xf>
    <xf numFmtId="4" fontId="50" fillId="29" borderId="86" xfId="657" applyNumberFormat="1" applyFont="1" applyFill="1" applyBorder="1" applyAlignment="1">
      <alignment horizontal="center" vertical="center" wrapText="1"/>
    </xf>
    <xf numFmtId="4" fontId="50" fillId="29" borderId="87" xfId="657" applyNumberFormat="1" applyFont="1" applyFill="1" applyBorder="1" applyAlignment="1">
      <alignment horizontal="center" vertical="center" wrapText="1"/>
    </xf>
    <xf numFmtId="2" fontId="64" fillId="29" borderId="85" xfId="657" applyNumberFormat="1" applyFont="1" applyFill="1" applyBorder="1" applyAlignment="1">
      <alignment horizontal="center" vertical="center" wrapText="1"/>
    </xf>
    <xf numFmtId="0" fontId="73" fillId="27" borderId="0" xfId="657" applyFont="1" applyFill="1" applyBorder="1" applyAlignment="1">
      <alignment horizontal="center" vertical="center"/>
    </xf>
    <xf numFmtId="4" fontId="61" fillId="28" borderId="0" xfId="657" applyNumberFormat="1" applyFont="1" applyFill="1" applyBorder="1" applyAlignment="1">
      <alignment horizontal="center" vertical="center"/>
    </xf>
    <xf numFmtId="4" fontId="72" fillId="28" borderId="0" xfId="657" applyNumberFormat="1" applyFont="1" applyFill="1" applyBorder="1" applyAlignment="1">
      <alignment horizontal="center" vertical="center" wrapText="1"/>
    </xf>
    <xf numFmtId="0" fontId="63" fillId="28" borderId="0" xfId="657" applyFont="1" applyFill="1" applyBorder="1" applyAlignment="1">
      <alignment horizontal="left" vertical="center"/>
    </xf>
    <xf numFmtId="14" fontId="73" fillId="27" borderId="0" xfId="657" applyNumberFormat="1" applyFont="1" applyFill="1" applyBorder="1" applyAlignment="1">
      <alignment horizontal="left" vertical="center" wrapText="1"/>
    </xf>
    <xf numFmtId="0" fontId="67" fillId="22" borderId="30" xfId="658" applyFont="1" applyFill="1" applyBorder="1" applyAlignment="1">
      <alignment horizontal="center" vertical="center"/>
    </xf>
    <xf numFmtId="0" fontId="67" fillId="22" borderId="31" xfId="658" applyFont="1" applyFill="1" applyBorder="1" applyAlignment="1">
      <alignment horizontal="center" vertical="center"/>
    </xf>
    <xf numFmtId="0" fontId="67" fillId="22" borderId="32" xfId="658" applyFont="1" applyFill="1" applyBorder="1" applyAlignment="1">
      <alignment horizontal="center" vertical="center"/>
    </xf>
    <xf numFmtId="0" fontId="67" fillId="22" borderId="15" xfId="658" applyFont="1" applyFill="1" applyBorder="1" applyAlignment="1">
      <alignment horizontal="center" vertical="center"/>
    </xf>
    <xf numFmtId="0" fontId="67" fillId="22" borderId="0" xfId="658" applyFont="1" applyFill="1" applyBorder="1" applyAlignment="1">
      <alignment horizontal="center" vertical="center"/>
    </xf>
    <xf numFmtId="0" fontId="67" fillId="22" borderId="16" xfId="658" applyFont="1" applyFill="1" applyBorder="1" applyAlignment="1">
      <alignment horizontal="center" vertical="center"/>
    </xf>
    <xf numFmtId="0" fontId="62" fillId="28" borderId="90" xfId="658" applyFont="1" applyFill="1" applyBorder="1" applyAlignment="1">
      <alignment horizontal="center" vertical="center"/>
    </xf>
    <xf numFmtId="0" fontId="62" fillId="28" borderId="39" xfId="658" applyFont="1" applyFill="1" applyBorder="1" applyAlignment="1">
      <alignment horizontal="center" vertical="center"/>
    </xf>
    <xf numFmtId="0" fontId="62" fillId="28" borderId="91" xfId="658" applyFont="1" applyFill="1" applyBorder="1" applyAlignment="1">
      <alignment horizontal="center" vertical="center"/>
    </xf>
    <xf numFmtId="0" fontId="67" fillId="22" borderId="15" xfId="658" applyFont="1" applyFill="1" applyBorder="1" applyAlignment="1">
      <alignment horizontal="center"/>
    </xf>
    <xf numFmtId="0" fontId="67" fillId="22" borderId="0" xfId="658" applyFont="1" applyFill="1" applyBorder="1" applyAlignment="1">
      <alignment horizontal="center"/>
    </xf>
    <xf numFmtId="4" fontId="67" fillId="22" borderId="0" xfId="658" applyNumberFormat="1" applyFont="1" applyFill="1" applyBorder="1" applyAlignment="1">
      <alignment horizontal="center"/>
    </xf>
    <xf numFmtId="4" fontId="67" fillId="22" borderId="16" xfId="658" applyNumberFormat="1" applyFont="1" applyFill="1" applyBorder="1" applyAlignment="1">
      <alignment horizontal="center"/>
    </xf>
    <xf numFmtId="4" fontId="67" fillId="22" borderId="0" xfId="658" applyNumberFormat="1" applyFont="1" applyFill="1" applyBorder="1" applyAlignment="1">
      <alignment horizontal="center" vertical="center"/>
    </xf>
    <xf numFmtId="4" fontId="67" fillId="22" borderId="16" xfId="658" applyNumberFormat="1" applyFont="1" applyFill="1" applyBorder="1" applyAlignment="1">
      <alignment horizontal="center" vertical="center"/>
    </xf>
    <xf numFmtId="4" fontId="53" fillId="0" borderId="9" xfId="80" applyNumberFormat="1" applyFont="1" applyBorder="1" applyAlignment="1">
      <alignment horizontal="center"/>
    </xf>
    <xf numFmtId="4" fontId="53" fillId="0" borderId="10" xfId="80" applyNumberFormat="1" applyFont="1" applyBorder="1" applyAlignment="1">
      <alignment horizontal="center"/>
    </xf>
    <xf numFmtId="4" fontId="53" fillId="0" borderId="11" xfId="80" applyNumberFormat="1" applyFont="1" applyBorder="1" applyAlignment="1">
      <alignment horizontal="center"/>
    </xf>
    <xf numFmtId="4" fontId="21" fillId="0" borderId="13" xfId="81" applyNumberFormat="1" applyFont="1" applyFill="1" applyBorder="1" applyAlignment="1">
      <alignment horizontal="left"/>
    </xf>
    <xf numFmtId="0" fontId="21" fillId="0" borderId="0" xfId="80" applyFont="1" applyFill="1" applyBorder="1" applyAlignment="1">
      <alignment horizontal="right" vertical="center"/>
    </xf>
    <xf numFmtId="0" fontId="21" fillId="0" borderId="0" xfId="80" applyFont="1" applyFill="1" applyBorder="1" applyAlignment="1">
      <alignment horizontal="left" vertical="center" wrapText="1"/>
    </xf>
    <xf numFmtId="4" fontId="21" fillId="0" borderId="8" xfId="81" applyNumberFormat="1" applyFont="1" applyFill="1" applyBorder="1" applyAlignment="1">
      <alignment horizontal="center"/>
    </xf>
    <xf numFmtId="0" fontId="69" fillId="27" borderId="33" xfId="91" applyFont="1" applyFill="1" applyBorder="1" applyAlignment="1">
      <alignment horizontal="center" vertical="center"/>
    </xf>
    <xf numFmtId="0" fontId="69" fillId="27" borderId="34" xfId="91" applyFont="1" applyFill="1" applyBorder="1" applyAlignment="1">
      <alignment horizontal="center" vertical="center"/>
    </xf>
    <xf numFmtId="0" fontId="69" fillId="27" borderId="35" xfId="91" applyFont="1" applyFill="1" applyBorder="1" applyAlignment="1">
      <alignment horizontal="center" vertical="center"/>
    </xf>
    <xf numFmtId="4" fontId="62" fillId="27" borderId="15" xfId="91" applyNumberFormat="1" applyFont="1" applyFill="1" applyBorder="1" applyAlignment="1">
      <alignment horizontal="left" vertical="center"/>
    </xf>
    <xf numFmtId="4" fontId="62" fillId="27" borderId="0" xfId="91" applyNumberFormat="1" applyFont="1" applyFill="1" applyAlignment="1">
      <alignment horizontal="left" vertical="center"/>
    </xf>
    <xf numFmtId="4" fontId="62" fillId="27" borderId="16" xfId="91" applyNumberFormat="1" applyFont="1" applyFill="1" applyBorder="1" applyAlignment="1">
      <alignment horizontal="left" vertical="center"/>
    </xf>
    <xf numFmtId="4" fontId="61" fillId="28" borderId="0" xfId="88" applyNumberFormat="1" applyFont="1" applyFill="1" applyAlignment="1">
      <alignment horizontal="center" vertical="center"/>
    </xf>
    <xf numFmtId="4" fontId="72" fillId="28" borderId="0" xfId="88" applyNumberFormat="1" applyFont="1" applyFill="1" applyAlignment="1">
      <alignment horizontal="center" vertical="center"/>
    </xf>
    <xf numFmtId="4" fontId="73" fillId="28" borderId="0" xfId="88" applyNumberFormat="1" applyFont="1" applyFill="1" applyAlignment="1">
      <alignment horizontal="center" vertical="center"/>
    </xf>
    <xf numFmtId="0" fontId="63" fillId="28" borderId="0" xfId="88" applyFont="1" applyFill="1" applyAlignment="1">
      <alignment horizontal="left" vertical="center"/>
    </xf>
    <xf numFmtId="0" fontId="73" fillId="27" borderId="0" xfId="88" applyFont="1" applyFill="1" applyAlignment="1">
      <alignment horizontal="center" vertical="center"/>
    </xf>
    <xf numFmtId="0" fontId="73" fillId="27" borderId="0" xfId="88" applyFont="1" applyFill="1" applyAlignment="1">
      <alignment horizontal="left" vertical="center" wrapText="1"/>
    </xf>
    <xf numFmtId="0" fontId="73" fillId="27" borderId="39" xfId="88" applyFont="1" applyFill="1" applyBorder="1" applyAlignment="1">
      <alignment horizontal="left" vertical="center"/>
    </xf>
    <xf numFmtId="0" fontId="67" fillId="27" borderId="15" xfId="91" applyFont="1" applyFill="1" applyBorder="1" applyAlignment="1">
      <alignment horizontal="center" vertical="center"/>
    </xf>
    <xf numFmtId="0" fontId="67" fillId="27" borderId="0" xfId="91" applyFont="1" applyFill="1" applyAlignment="1">
      <alignment horizontal="center" vertical="center"/>
    </xf>
    <xf numFmtId="4" fontId="67" fillId="27" borderId="0" xfId="91" applyNumberFormat="1" applyFont="1" applyFill="1" applyAlignment="1">
      <alignment horizontal="center" vertical="center"/>
    </xf>
    <xf numFmtId="4" fontId="67" fillId="27" borderId="16" xfId="91" applyNumberFormat="1" applyFont="1" applyFill="1" applyBorder="1" applyAlignment="1">
      <alignment horizontal="center" vertical="center"/>
    </xf>
    <xf numFmtId="0" fontId="67" fillId="27" borderId="30" xfId="91" applyFont="1" applyFill="1" applyBorder="1" applyAlignment="1">
      <alignment horizontal="center" vertical="center"/>
    </xf>
    <xf numFmtId="0" fontId="67" fillId="27" borderId="31" xfId="91" applyFont="1" applyFill="1" applyBorder="1" applyAlignment="1">
      <alignment horizontal="center" vertical="center"/>
    </xf>
    <xf numFmtId="0" fontId="67" fillId="27" borderId="32" xfId="91" applyFont="1" applyFill="1" applyBorder="1" applyAlignment="1">
      <alignment horizontal="center" vertical="center"/>
    </xf>
    <xf numFmtId="0" fontId="69" fillId="27" borderId="15" xfId="91" applyFont="1" applyFill="1" applyBorder="1" applyAlignment="1">
      <alignment horizontal="center" vertical="center"/>
    </xf>
    <xf numFmtId="0" fontId="69" fillId="27" borderId="0" xfId="91" applyFont="1" applyFill="1" applyAlignment="1">
      <alignment horizontal="center" vertical="center"/>
    </xf>
    <xf numFmtId="0" fontId="69" fillId="27" borderId="16" xfId="91" applyFont="1" applyFill="1" applyBorder="1" applyAlignment="1">
      <alignment horizontal="center" vertical="center"/>
    </xf>
    <xf numFmtId="0" fontId="14" fillId="0" borderId="15" xfId="91" applyBorder="1" applyAlignment="1">
      <alignment horizontal="left" wrapText="1"/>
    </xf>
    <xf numFmtId="0" fontId="67" fillId="27" borderId="15" xfId="91" applyFont="1" applyFill="1" applyBorder="1" applyAlignment="1">
      <alignment horizontal="center"/>
    </xf>
    <xf numFmtId="0" fontId="67" fillId="27" borderId="0" xfId="91" applyFont="1" applyFill="1" applyAlignment="1">
      <alignment horizontal="center"/>
    </xf>
    <xf numFmtId="4" fontId="67" fillId="27" borderId="0" xfId="91" applyNumberFormat="1" applyFont="1" applyFill="1" applyAlignment="1">
      <alignment horizontal="center"/>
    </xf>
    <xf numFmtId="4" fontId="67" fillId="27" borderId="16" xfId="91" applyNumberFormat="1" applyFont="1" applyFill="1" applyBorder="1" applyAlignment="1">
      <alignment horizontal="center"/>
    </xf>
    <xf numFmtId="4" fontId="24" fillId="0" borderId="0" xfId="657" applyNumberFormat="1" applyFont="1" applyBorder="1" applyAlignment="1">
      <alignment horizontal="center" vertical="center" wrapText="1"/>
    </xf>
    <xf numFmtId="0" fontId="73" fillId="27" borderId="0" xfId="657" applyFont="1" applyFill="1" applyBorder="1" applyAlignment="1">
      <alignment horizontal="center" vertical="center" wrapText="1"/>
    </xf>
    <xf numFmtId="0" fontId="73" fillId="27" borderId="39" xfId="657" applyFont="1" applyFill="1" applyBorder="1" applyAlignment="1">
      <alignment vertical="center" wrapText="1"/>
    </xf>
    <xf numFmtId="14" fontId="53" fillId="27" borderId="39" xfId="79" applyNumberFormat="1" applyFont="1" applyFill="1" applyBorder="1" applyAlignment="1" applyProtection="1">
      <alignment horizontal="center" vertical="center" wrapText="1"/>
    </xf>
    <xf numFmtId="0" fontId="64" fillId="29" borderId="86" xfId="657" applyFont="1" applyFill="1" applyBorder="1" applyAlignment="1">
      <alignment horizontal="center" vertical="center" wrapText="1"/>
    </xf>
    <xf numFmtId="4" fontId="118" fillId="29" borderId="86" xfId="657" applyNumberFormat="1" applyFont="1" applyFill="1" applyBorder="1" applyAlignment="1">
      <alignment horizontal="center" vertical="center" wrapText="1"/>
    </xf>
    <xf numFmtId="4" fontId="102" fillId="28" borderId="93" xfId="659" applyNumberFormat="1" applyFont="1" applyFill="1" applyBorder="1" applyAlignment="1" applyProtection="1">
      <alignment horizontal="center" vertical="center" wrapText="1"/>
    </xf>
    <xf numFmtId="4" fontId="52" fillId="28" borderId="93" xfId="659" applyNumberFormat="1" applyFont="1" applyFill="1" applyBorder="1" applyAlignment="1" applyProtection="1">
      <alignment horizontal="center" vertical="center" wrapText="1"/>
    </xf>
    <xf numFmtId="4" fontId="103" fillId="22" borderId="93" xfId="658" applyNumberFormat="1" applyFont="1" applyFill="1" applyBorder="1" applyAlignment="1">
      <alignment horizontal="center" vertical="center" wrapText="1"/>
    </xf>
    <xf numFmtId="4" fontId="52" fillId="27" borderId="93" xfId="92" applyNumberFormat="1" applyFont="1" applyFill="1" applyBorder="1" applyAlignment="1" applyProtection="1">
      <alignment horizontal="center" vertical="center" wrapText="1"/>
    </xf>
    <xf numFmtId="4" fontId="53" fillId="27" borderId="94" xfId="58" applyNumberFormat="1" applyFont="1" applyFill="1" applyBorder="1" applyAlignment="1">
      <alignment horizontal="center" vertical="center" wrapText="1"/>
    </xf>
    <xf numFmtId="4" fontId="52" fillId="28" borderId="12" xfId="659" applyNumberFormat="1" applyFont="1" applyFill="1" applyBorder="1" applyAlignment="1" applyProtection="1">
      <alignment horizontal="center" vertical="center" wrapText="1"/>
    </xf>
    <xf numFmtId="4" fontId="103" fillId="22" borderId="12" xfId="658" applyNumberFormat="1" applyFont="1" applyFill="1" applyBorder="1" applyAlignment="1">
      <alignment horizontal="center" vertical="center" wrapText="1"/>
    </xf>
    <xf numFmtId="4" fontId="52" fillId="27" borderId="12" xfId="92" applyNumberFormat="1" applyFont="1" applyFill="1" applyBorder="1" applyAlignment="1" applyProtection="1">
      <alignment horizontal="center" vertical="center" wrapText="1"/>
    </xf>
    <xf numFmtId="39" fontId="53" fillId="27" borderId="89" xfId="659" applyNumberFormat="1" applyFont="1" applyFill="1" applyBorder="1" applyAlignment="1" applyProtection="1">
      <alignment horizontal="center" vertical="center" wrapText="1"/>
    </xf>
    <xf numFmtId="4" fontId="52" fillId="22" borderId="12" xfId="658" applyNumberFormat="1" applyFont="1" applyFill="1" applyBorder="1" applyAlignment="1">
      <alignment horizontal="center" vertical="center" wrapText="1"/>
    </xf>
    <xf numFmtId="4" fontId="53" fillId="27" borderId="89" xfId="58" applyNumberFormat="1" applyFont="1" applyFill="1" applyBorder="1" applyAlignment="1">
      <alignment horizontal="center" vertical="center" wrapText="1"/>
    </xf>
    <xf numFmtId="4" fontId="103" fillId="28" borderId="12" xfId="659" applyNumberFormat="1" applyFont="1" applyFill="1" applyBorder="1" applyAlignment="1" applyProtection="1">
      <alignment horizontal="center" vertical="center" wrapText="1"/>
    </xf>
    <xf numFmtId="4" fontId="102" fillId="28" borderId="12" xfId="659" applyNumberFormat="1" applyFont="1" applyFill="1" applyBorder="1" applyAlignment="1" applyProtection="1">
      <alignment horizontal="center" vertical="center" wrapText="1"/>
    </xf>
    <xf numFmtId="4" fontId="102" fillId="22" borderId="12" xfId="658" applyNumberFormat="1" applyFont="1" applyFill="1" applyBorder="1" applyAlignment="1">
      <alignment horizontal="center" vertical="center" wrapText="1"/>
    </xf>
    <xf numFmtId="0" fontId="53" fillId="28" borderId="12" xfId="658" applyFont="1" applyFill="1" applyBorder="1" applyAlignment="1">
      <alignment vertical="center" wrapText="1"/>
    </xf>
    <xf numFmtId="4" fontId="103" fillId="28" borderId="12" xfId="658" applyNumberFormat="1" applyFont="1" applyFill="1" applyBorder="1" applyAlignment="1">
      <alignment horizontal="center" vertical="center" wrapText="1"/>
    </xf>
    <xf numFmtId="4" fontId="52" fillId="28" borderId="12" xfId="92" applyNumberFormat="1" applyFont="1" applyFill="1" applyBorder="1" applyAlignment="1" applyProtection="1">
      <alignment horizontal="center" vertical="center" wrapText="1"/>
    </xf>
    <xf numFmtId="39" fontId="53" fillId="28" borderId="89" xfId="659" applyNumberFormat="1" applyFont="1" applyFill="1" applyBorder="1" applyAlignment="1" applyProtection="1">
      <alignment horizontal="center" vertical="center" wrapText="1"/>
    </xf>
    <xf numFmtId="4" fontId="103" fillId="0" borderId="12" xfId="658" applyNumberFormat="1" applyFont="1" applyFill="1" applyBorder="1" applyAlignment="1">
      <alignment horizontal="center" vertical="center" wrapText="1"/>
    </xf>
    <xf numFmtId="0" fontId="53" fillId="27" borderId="12" xfId="215" applyFont="1" applyFill="1" applyBorder="1" applyAlignment="1">
      <alignment horizontal="left" vertical="center" wrapText="1"/>
    </xf>
    <xf numFmtId="4" fontId="52" fillId="28" borderId="12" xfId="216" applyNumberFormat="1" applyFont="1" applyFill="1" applyBorder="1" applyAlignment="1" applyProtection="1">
      <alignment horizontal="center" vertical="center" wrapText="1"/>
    </xf>
    <xf numFmtId="4" fontId="52" fillId="22" borderId="12" xfId="58" applyNumberFormat="1" applyFont="1" applyFill="1" applyBorder="1" applyAlignment="1">
      <alignment horizontal="center" vertical="center" wrapText="1"/>
    </xf>
    <xf numFmtId="4" fontId="52" fillId="28" borderId="96" xfId="659" applyNumberFormat="1" applyFont="1" applyFill="1" applyBorder="1" applyAlignment="1" applyProtection="1">
      <alignment horizontal="center" vertical="center" wrapText="1"/>
    </xf>
    <xf numFmtId="4" fontId="103" fillId="22" borderId="96" xfId="658" applyNumberFormat="1" applyFont="1" applyFill="1" applyBorder="1" applyAlignment="1">
      <alignment horizontal="center" vertical="center" wrapText="1"/>
    </xf>
    <xf numFmtId="4" fontId="52" fillId="27" borderId="96" xfId="92" applyNumberFormat="1" applyFont="1" applyFill="1" applyBorder="1" applyAlignment="1" applyProtection="1">
      <alignment horizontal="center" vertical="center" wrapText="1"/>
    </xf>
    <xf numFmtId="4" fontId="53" fillId="27" borderId="97" xfId="58" applyNumberFormat="1" applyFont="1" applyFill="1" applyBorder="1" applyAlignment="1">
      <alignment horizontal="center" vertical="center" wrapText="1"/>
    </xf>
    <xf numFmtId="0" fontId="53" fillId="0" borderId="25" xfId="658" applyFont="1" applyFill="1" applyBorder="1" applyAlignment="1">
      <alignment vertical="center" wrapText="1"/>
    </xf>
    <xf numFmtId="4" fontId="24" fillId="0" borderId="25" xfId="658" applyNumberFormat="1" applyFont="1" applyFill="1" applyBorder="1" applyAlignment="1">
      <alignment vertical="center" wrapText="1"/>
    </xf>
    <xf numFmtId="0" fontId="24" fillId="0" borderId="25" xfId="658" applyFont="1" applyFill="1" applyBorder="1" applyAlignment="1">
      <alignment horizontal="center" vertical="center" wrapText="1"/>
    </xf>
    <xf numFmtId="4" fontId="24" fillId="0" borderId="25" xfId="658" applyNumberFormat="1" applyFont="1" applyFill="1" applyBorder="1" applyAlignment="1">
      <alignment horizontal="center" vertical="center" wrapText="1"/>
    </xf>
    <xf numFmtId="39" fontId="53" fillId="0" borderId="26" xfId="659" applyNumberFormat="1" applyFont="1" applyFill="1" applyBorder="1" applyAlignment="1" applyProtection="1">
      <alignment horizontal="center" vertical="center" wrapText="1"/>
    </xf>
    <xf numFmtId="0" fontId="53" fillId="0" borderId="19" xfId="658" applyFont="1" applyFill="1" applyBorder="1" applyAlignment="1">
      <alignment vertical="center" wrapText="1"/>
    </xf>
    <xf numFmtId="4" fontId="24" fillId="0" borderId="19" xfId="658" applyNumberFormat="1" applyFont="1" applyFill="1" applyBorder="1" applyAlignment="1">
      <alignment vertical="center" wrapText="1"/>
    </xf>
    <xf numFmtId="0" fontId="24" fillId="0" borderId="19" xfId="658" applyFont="1" applyFill="1" applyBorder="1" applyAlignment="1">
      <alignment horizontal="center" vertical="center" wrapText="1"/>
    </xf>
    <xf numFmtId="4" fontId="24" fillId="0" borderId="19" xfId="658" applyNumberFormat="1" applyFont="1" applyFill="1" applyBorder="1" applyAlignment="1">
      <alignment horizontal="center" vertical="center" wrapText="1"/>
    </xf>
    <xf numFmtId="39" fontId="53" fillId="0" borderId="20" xfId="659" applyNumberFormat="1" applyFont="1" applyFill="1" applyBorder="1" applyAlignment="1" applyProtection="1">
      <alignment horizontal="center" vertical="center" wrapText="1"/>
    </xf>
    <xf numFmtId="0" fontId="53" fillId="0" borderId="22" xfId="658" applyFont="1" applyFill="1" applyBorder="1" applyAlignment="1">
      <alignment vertical="center" wrapText="1"/>
    </xf>
    <xf numFmtId="4" fontId="52" fillId="0" borderId="22" xfId="658" applyNumberFormat="1" applyFont="1" applyFill="1" applyBorder="1" applyAlignment="1">
      <alignment horizontal="center" vertical="center" wrapText="1"/>
    </xf>
    <xf numFmtId="0" fontId="52" fillId="0" borderId="22" xfId="658" applyFont="1" applyFill="1" applyBorder="1" applyAlignment="1">
      <alignment horizontal="center" vertical="center" wrapText="1"/>
    </xf>
    <xf numFmtId="4" fontId="52" fillId="0" borderId="22" xfId="659" applyNumberFormat="1" applyFont="1" applyFill="1" applyBorder="1" applyAlignment="1" applyProtection="1">
      <alignment horizontal="center" vertical="center" wrapText="1"/>
    </xf>
    <xf numFmtId="4" fontId="53" fillId="0" borderId="23" xfId="658" applyNumberFormat="1" applyFont="1" applyFill="1" applyBorder="1" applyAlignment="1">
      <alignment horizontal="center" vertical="center" wrapText="1"/>
    </xf>
    <xf numFmtId="0" fontId="53" fillId="0" borderId="0" xfId="658" applyFont="1" applyFill="1" applyBorder="1" applyAlignment="1">
      <alignment vertical="center" wrapText="1"/>
    </xf>
    <xf numFmtId="4" fontId="52" fillId="0" borderId="0" xfId="658" applyNumberFormat="1" applyFont="1" applyFill="1" applyBorder="1" applyAlignment="1">
      <alignment horizontal="center" vertical="center" wrapText="1"/>
    </xf>
    <xf numFmtId="0" fontId="52" fillId="0" borderId="0" xfId="658" applyFont="1" applyFill="1" applyBorder="1" applyAlignment="1">
      <alignment horizontal="center" vertical="center" wrapText="1"/>
    </xf>
    <xf numFmtId="196" fontId="52" fillId="22" borderId="12" xfId="658" applyNumberFormat="1" applyFont="1" applyFill="1" applyBorder="1" applyAlignment="1">
      <alignment horizontal="center" vertical="center" wrapText="1"/>
    </xf>
    <xf numFmtId="4" fontId="52" fillId="27" borderId="22" xfId="92" applyNumberFormat="1" applyFont="1" applyFill="1" applyBorder="1" applyAlignment="1" applyProtection="1">
      <alignment horizontal="center" vertical="center" wrapText="1"/>
    </xf>
    <xf numFmtId="39" fontId="53" fillId="27" borderId="23" xfId="659" applyNumberFormat="1" applyFont="1" applyFill="1" applyBorder="1" applyAlignment="1" applyProtection="1">
      <alignment horizontal="center" vertical="center" wrapText="1"/>
    </xf>
    <xf numFmtId="4" fontId="52" fillId="28" borderId="98" xfId="659" applyNumberFormat="1" applyFont="1" applyFill="1" applyBorder="1" applyAlignment="1" applyProtection="1">
      <alignment horizontal="center" vertical="center" wrapText="1"/>
    </xf>
    <xf numFmtId="196" fontId="52" fillId="22" borderId="98" xfId="658" applyNumberFormat="1" applyFont="1" applyFill="1" applyBorder="1" applyAlignment="1">
      <alignment horizontal="center" vertical="center" wrapText="1"/>
    </xf>
    <xf numFmtId="4" fontId="52" fillId="27" borderId="62" xfId="92" applyNumberFormat="1" applyFont="1" applyFill="1" applyBorder="1" applyAlignment="1" applyProtection="1">
      <alignment horizontal="center" vertical="center" wrapText="1"/>
    </xf>
    <xf numFmtId="4" fontId="53" fillId="27" borderId="99" xfId="58" applyNumberFormat="1" applyFont="1" applyFill="1" applyBorder="1" applyAlignment="1">
      <alignment horizontal="center" vertical="center" wrapText="1"/>
    </xf>
    <xf numFmtId="0" fontId="52" fillId="0" borderId="12" xfId="658" applyFont="1" applyFill="1" applyBorder="1" applyAlignment="1">
      <alignment horizontal="center" vertical="center" wrapText="1"/>
    </xf>
    <xf numFmtId="175" fontId="52" fillId="0" borderId="12" xfId="658" applyNumberFormat="1" applyFont="1" applyFill="1" applyBorder="1" applyAlignment="1">
      <alignment horizontal="center" vertical="center" wrapText="1"/>
    </xf>
    <xf numFmtId="4" fontId="53" fillId="0" borderId="12" xfId="658" applyNumberFormat="1" applyFont="1" applyFill="1" applyBorder="1" applyAlignment="1">
      <alignment horizontal="center" vertical="center" wrapText="1"/>
    </xf>
    <xf numFmtId="0" fontId="53" fillId="0" borderId="28" xfId="658" applyFont="1" applyFill="1" applyBorder="1" applyAlignment="1">
      <alignment vertical="center" wrapText="1"/>
    </xf>
    <xf numFmtId="4" fontId="24" fillId="0" borderId="28" xfId="658" applyNumberFormat="1" applyFont="1" applyFill="1" applyBorder="1" applyAlignment="1">
      <alignment vertical="center" wrapText="1"/>
    </xf>
    <xf numFmtId="0" fontId="24" fillId="0" borderId="28" xfId="658" applyFont="1" applyFill="1" applyBorder="1" applyAlignment="1">
      <alignment horizontal="center" vertical="center" wrapText="1"/>
    </xf>
    <xf numFmtId="4" fontId="24" fillId="0" borderId="28" xfId="658" applyNumberFormat="1" applyFont="1" applyFill="1" applyBorder="1" applyAlignment="1">
      <alignment horizontal="center" vertical="center" wrapText="1"/>
    </xf>
    <xf numFmtId="184" fontId="53" fillId="0" borderId="29" xfId="659" applyNumberFormat="1" applyFont="1" applyFill="1" applyBorder="1" applyAlignment="1" applyProtection="1">
      <alignment horizontal="center" vertical="center" wrapText="1"/>
    </xf>
  </cellXfs>
  <cellStyles count="689">
    <cellStyle name="_x000d__x000a_JournalTemplate=C:\COMFO\CTALK\JOURSTD.TPL_x000d__x000a_LbStateAddress=3 3 0 251 1 89 2 311_x000d__x000a_LbStateJou" xfId="348"/>
    <cellStyle name="20% - Accent1" xfId="94"/>
    <cellStyle name="20% - Accent1 2" xfId="266"/>
    <cellStyle name="20% - Accent2" xfId="95"/>
    <cellStyle name="20% - Accent2 2" xfId="267"/>
    <cellStyle name="20% - Accent3" xfId="96"/>
    <cellStyle name="20% - Accent3 2" xfId="268"/>
    <cellStyle name="20% - Accent4" xfId="97"/>
    <cellStyle name="20% - Accent4 2" xfId="269"/>
    <cellStyle name="20% - Accent5" xfId="98"/>
    <cellStyle name="20% - Accent5 2" xfId="270"/>
    <cellStyle name="20% - Accent6" xfId="99"/>
    <cellStyle name="20% - Accent6 2" xfId="271"/>
    <cellStyle name="20% - Énfasis1 2" xfId="100"/>
    <cellStyle name="20% - Énfasis1 2 2" xfId="349"/>
    <cellStyle name="20% - Énfasis1 3" xfId="350"/>
    <cellStyle name="20% - Énfasis1 4" xfId="351"/>
    <cellStyle name="20% - Énfasis2 2" xfId="101"/>
    <cellStyle name="20% - Énfasis2 2 2" xfId="352"/>
    <cellStyle name="20% - Énfasis2 3" xfId="353"/>
    <cellStyle name="20% - Énfasis2 4" xfId="354"/>
    <cellStyle name="20% - Énfasis3 2" xfId="102"/>
    <cellStyle name="20% - Énfasis3 2 2" xfId="355"/>
    <cellStyle name="20% - Énfasis3 3" xfId="356"/>
    <cellStyle name="20% - Énfasis3 4" xfId="357"/>
    <cellStyle name="20% - Énfasis4 2" xfId="103"/>
    <cellStyle name="20% - Énfasis4 2 2" xfId="358"/>
    <cellStyle name="20% - Énfasis4 3" xfId="359"/>
    <cellStyle name="20% - Énfasis4 4" xfId="360"/>
    <cellStyle name="20% - Énfasis5 2" xfId="104"/>
    <cellStyle name="20% - Énfasis5 2 2" xfId="361"/>
    <cellStyle name="20% - Énfasis5 3" xfId="362"/>
    <cellStyle name="20% - Énfasis5 4" xfId="363"/>
    <cellStyle name="20% - Énfasis6 2" xfId="105"/>
    <cellStyle name="20% - Énfasis6 2 2" xfId="364"/>
    <cellStyle name="20% - Énfasis6 3" xfId="365"/>
    <cellStyle name="20% - Énfasis6 4" xfId="366"/>
    <cellStyle name="40% - Accent1" xfId="106"/>
    <cellStyle name="40% - Accent1 2" xfId="272"/>
    <cellStyle name="40% - Accent2" xfId="107"/>
    <cellStyle name="40% - Accent2 2" xfId="273"/>
    <cellStyle name="40% - Accent3" xfId="108"/>
    <cellStyle name="40% - Accent3 2" xfId="274"/>
    <cellStyle name="40% - Accent4" xfId="109"/>
    <cellStyle name="40% - Accent4 2" xfId="275"/>
    <cellStyle name="40% - Accent5" xfId="110"/>
    <cellStyle name="40% - Accent5 2" xfId="276"/>
    <cellStyle name="40% - Accent6" xfId="111"/>
    <cellStyle name="40% - Accent6 2" xfId="277"/>
    <cellStyle name="40% - Énfasis1 2" xfId="112"/>
    <cellStyle name="40% - Énfasis1 2 2" xfId="367"/>
    <cellStyle name="40% - Énfasis1 3" xfId="368"/>
    <cellStyle name="40% - Énfasis1 4" xfId="369"/>
    <cellStyle name="40% - Énfasis2 2" xfId="113"/>
    <cellStyle name="40% - Énfasis2 2 2" xfId="370"/>
    <cellStyle name="40% - Énfasis2 3" xfId="371"/>
    <cellStyle name="40% - Énfasis2 4" xfId="372"/>
    <cellStyle name="40% - Énfasis3 2" xfId="114"/>
    <cellStyle name="40% - Énfasis3 2 2" xfId="373"/>
    <cellStyle name="40% - Énfasis3 3" xfId="374"/>
    <cellStyle name="40% - Énfasis3 4" xfId="375"/>
    <cellStyle name="40% - Énfasis4 2" xfId="115"/>
    <cellStyle name="40% - Énfasis4 2 2" xfId="376"/>
    <cellStyle name="40% - Énfasis4 3" xfId="377"/>
    <cellStyle name="40% - Énfasis4 4" xfId="378"/>
    <cellStyle name="40% - Énfasis5 2" xfId="116"/>
    <cellStyle name="40% - Énfasis5 2 2" xfId="379"/>
    <cellStyle name="40% - Énfasis5 3" xfId="380"/>
    <cellStyle name="40% - Énfasis5 4" xfId="381"/>
    <cellStyle name="40% - Énfasis6 2" xfId="117"/>
    <cellStyle name="40% - Énfasis6 2 2" xfId="382"/>
    <cellStyle name="40% - Énfasis6 3" xfId="383"/>
    <cellStyle name="40% - Énfasis6 4" xfId="384"/>
    <cellStyle name="60% - Accent1" xfId="118"/>
    <cellStyle name="60% - Accent1 2" xfId="278"/>
    <cellStyle name="60% - Accent2" xfId="119"/>
    <cellStyle name="60% - Accent2 2" xfId="279"/>
    <cellStyle name="60% - Accent3" xfId="120"/>
    <cellStyle name="60% - Accent3 2" xfId="280"/>
    <cellStyle name="60% - Accent4" xfId="121"/>
    <cellStyle name="60% - Accent4 2" xfId="281"/>
    <cellStyle name="60% - Accent5" xfId="122"/>
    <cellStyle name="60% - Accent5 2" xfId="282"/>
    <cellStyle name="60% - Accent6" xfId="123"/>
    <cellStyle name="60% - Accent6 2" xfId="283"/>
    <cellStyle name="60% - Énfasis1 2" xfId="124"/>
    <cellStyle name="60% - Énfasis1 2 2" xfId="385"/>
    <cellStyle name="60% - Énfasis1 3" xfId="386"/>
    <cellStyle name="60% - Énfasis1 4" xfId="387"/>
    <cellStyle name="60% - Énfasis2 2" xfId="125"/>
    <cellStyle name="60% - Énfasis2 2 2" xfId="388"/>
    <cellStyle name="60% - Énfasis2 3" xfId="389"/>
    <cellStyle name="60% - Énfasis2 4" xfId="390"/>
    <cellStyle name="60% - Énfasis3 2" xfId="126"/>
    <cellStyle name="60% - Énfasis3 2 2" xfId="391"/>
    <cellStyle name="60% - Énfasis3 3" xfId="392"/>
    <cellStyle name="60% - Énfasis3 4" xfId="393"/>
    <cellStyle name="60% - Énfasis4 2" xfId="127"/>
    <cellStyle name="60% - Énfasis4 2 2" xfId="394"/>
    <cellStyle name="60% - Énfasis4 3" xfId="395"/>
    <cellStyle name="60% - Énfasis4 4" xfId="396"/>
    <cellStyle name="60% - Énfasis5 2" xfId="128"/>
    <cellStyle name="60% - Énfasis5 2 2" xfId="397"/>
    <cellStyle name="60% - Énfasis5 3" xfId="398"/>
    <cellStyle name="60% - Énfasis5 4" xfId="399"/>
    <cellStyle name="60% - Énfasis6 2" xfId="129"/>
    <cellStyle name="60% - Énfasis6 2 2" xfId="400"/>
    <cellStyle name="60% - Énfasis6 3" xfId="401"/>
    <cellStyle name="60% - Énfasis6 4" xfId="402"/>
    <cellStyle name="Accent1" xfId="6"/>
    <cellStyle name="Accent1 - 20%" xfId="130"/>
    <cellStyle name="Accent1 - 20% 2" xfId="403"/>
    <cellStyle name="Accent1 - 40%" xfId="131"/>
    <cellStyle name="Accent1 - 40% 2" xfId="404"/>
    <cellStyle name="Accent1 - 60%" xfId="132"/>
    <cellStyle name="Accent1 - 60% 2" xfId="405"/>
    <cellStyle name="Accent1 2" xfId="284"/>
    <cellStyle name="Accent1 3" xfId="640"/>
    <cellStyle name="Accent1_Almacen Agregados Planta de Dovelas" xfId="133"/>
    <cellStyle name="Accent2" xfId="10"/>
    <cellStyle name="Accent2 - 20%" xfId="134"/>
    <cellStyle name="Accent2 - 20% 2" xfId="406"/>
    <cellStyle name="Accent2 - 40%" xfId="135"/>
    <cellStyle name="Accent2 - 40% 2" xfId="407"/>
    <cellStyle name="Accent2 - 60%" xfId="136"/>
    <cellStyle name="Accent2 - 60% 2" xfId="408"/>
    <cellStyle name="Accent2 2" xfId="285"/>
    <cellStyle name="Accent2 3" xfId="641"/>
    <cellStyle name="Accent2_Almacen Agregados Planta de Dovelas" xfId="137"/>
    <cellStyle name="Accent3" xfId="14"/>
    <cellStyle name="Accent3 - 20%" xfId="138"/>
    <cellStyle name="Accent3 - 20% 2" xfId="409"/>
    <cellStyle name="Accent3 - 40%" xfId="139"/>
    <cellStyle name="Accent3 - 40% 2" xfId="410"/>
    <cellStyle name="Accent3 - 60%" xfId="140"/>
    <cellStyle name="Accent3 - 60% 2" xfId="411"/>
    <cellStyle name="Accent3 2" xfId="286"/>
    <cellStyle name="Accent3 3" xfId="642"/>
    <cellStyle name="Accent3_Almacen Agregados Planta de Dovelas" xfId="141"/>
    <cellStyle name="Accent4" xfId="18"/>
    <cellStyle name="Accent4 - 20%" xfId="142"/>
    <cellStyle name="Accent4 - 20% 2" xfId="412"/>
    <cellStyle name="Accent4 - 40%" xfId="143"/>
    <cellStyle name="Accent4 - 40% 2" xfId="413"/>
    <cellStyle name="Accent4 - 60%" xfId="144"/>
    <cellStyle name="Accent4 - 60% 2" xfId="414"/>
    <cellStyle name="Accent4 2" xfId="287"/>
    <cellStyle name="Accent4 3" xfId="643"/>
    <cellStyle name="Accent4_Almacen Agregados Planta de Dovelas" xfId="145"/>
    <cellStyle name="Accent5" xfId="22"/>
    <cellStyle name="Accent5 - 20%" xfId="146"/>
    <cellStyle name="Accent5 - 20% 2" xfId="415"/>
    <cellStyle name="Accent5 - 40%" xfId="147"/>
    <cellStyle name="Accent5 - 40% 2" xfId="416"/>
    <cellStyle name="Accent5 - 60%" xfId="148"/>
    <cellStyle name="Accent5 - 60% 2" xfId="417"/>
    <cellStyle name="Accent5 2" xfId="288"/>
    <cellStyle name="Accent5 3" xfId="644"/>
    <cellStyle name="Accent5_Almacen Agregados Planta de Dovelas" xfId="149"/>
    <cellStyle name="Accent6" xfId="26"/>
    <cellStyle name="Accent6 - 20%" xfId="150"/>
    <cellStyle name="Accent6 - 20% 2" xfId="418"/>
    <cellStyle name="Accent6 - 40%" xfId="151"/>
    <cellStyle name="Accent6 - 40% 2" xfId="419"/>
    <cellStyle name="Accent6 - 60%" xfId="152"/>
    <cellStyle name="Accent6 - 60% 2" xfId="420"/>
    <cellStyle name="Accent6 2" xfId="289"/>
    <cellStyle name="Accent6 3" xfId="645"/>
    <cellStyle name="Accent6_Almacen Agregados Planta de Dovelas" xfId="153"/>
    <cellStyle name="Bad" xfId="31"/>
    <cellStyle name="Bad 2" xfId="290"/>
    <cellStyle name="Buena" xfId="220"/>
    <cellStyle name="Buena 2" xfId="421"/>
    <cellStyle name="Buena 3" xfId="422"/>
    <cellStyle name="Buena 4" xfId="423"/>
    <cellStyle name="Bueno" xfId="296" builtinId="26" customBuiltin="1"/>
    <cellStyle name="Calculation" xfId="1"/>
    <cellStyle name="Calculation 2" xfId="291"/>
    <cellStyle name="Cálculo 2" xfId="154"/>
    <cellStyle name="Cálculo 2 2" xfId="424"/>
    <cellStyle name="Cálculo 3" xfId="425"/>
    <cellStyle name="Cálculo 4" xfId="426"/>
    <cellStyle name="Celda de comprobación" xfId="292" builtinId="23" customBuiltin="1"/>
    <cellStyle name="Celda de comprobación 2" xfId="155"/>
    <cellStyle name="Celda de comprobación 2 2" xfId="427"/>
    <cellStyle name="Celda de comprobación 2 3" xfId="650"/>
    <cellStyle name="Celda de comprobación 3" xfId="428"/>
    <cellStyle name="Celda de comprobación 3 2" xfId="651"/>
    <cellStyle name="Celda de comprobación 4" xfId="429"/>
    <cellStyle name="Celda de comprobación 4 2" xfId="652"/>
    <cellStyle name="Celda de comprobación 5" xfId="221"/>
    <cellStyle name="Celda de comprobación 6" xfId="614"/>
    <cellStyle name="Celda vinculada" xfId="302" builtinId="24" customBuiltin="1"/>
    <cellStyle name="Celda vinculada 2" xfId="156"/>
    <cellStyle name="Celda vinculada 2 2" xfId="430"/>
    <cellStyle name="Celda vinculada 3" xfId="431"/>
    <cellStyle name="Celda vinculada 4" xfId="432"/>
    <cellStyle name="Check Cell 2" xfId="646"/>
    <cellStyle name="Comma 10" xfId="433"/>
    <cellStyle name="Comma 11" xfId="346"/>
    <cellStyle name="Comma 12" xfId="434"/>
    <cellStyle name="Comma 13" xfId="435"/>
    <cellStyle name="Comma 2" xfId="157"/>
    <cellStyle name="Comma 2 2" xfId="86"/>
    <cellStyle name="Comma 2 2 2" xfId="323"/>
    <cellStyle name="Comma 2 3" xfId="436"/>
    <cellStyle name="Comma 2 4" xfId="222"/>
    <cellStyle name="Comma 3" xfId="2"/>
    <cellStyle name="Comma 3 2" xfId="224"/>
    <cellStyle name="Comma 3 3" xfId="324"/>
    <cellStyle name="Comma 3 4" xfId="223"/>
    <cellStyle name="Comma 3_Adicional No. 1  Edificio Biblioteca y Verja y parqueos  Universidad ITECO" xfId="437"/>
    <cellStyle name="Comma 4" xfId="225"/>
    <cellStyle name="Comma 4 2" xfId="438"/>
    <cellStyle name="Comma 4_Presupuesto_remodelacion vivienda en cancino pe" xfId="439"/>
    <cellStyle name="Comma 5" xfId="293"/>
    <cellStyle name="Comma 5 2" xfId="260"/>
    <cellStyle name="Comma 6" xfId="294"/>
    <cellStyle name="Comma 6 2" xfId="262"/>
    <cellStyle name="Comma 7" xfId="226"/>
    <cellStyle name="Comma 7 2" xfId="325"/>
    <cellStyle name="Comma 8" xfId="295"/>
    <cellStyle name="Comma 8 2" xfId="258"/>
    <cellStyle name="Comma 8 2 2" xfId="311"/>
    <cellStyle name="Comma 8 3" xfId="309"/>
    <cellStyle name="Comma 9" xfId="326"/>
    <cellStyle name="Currency 2" xfId="440"/>
    <cellStyle name="Currency 3" xfId="441"/>
    <cellStyle name="Currency 4" xfId="442"/>
    <cellStyle name="Currency 5" xfId="682"/>
    <cellStyle name="Currency 5 4" xfId="684"/>
    <cellStyle name="Currency_PRESUPUESTOS Y ANALISIS FINAL CMEIs SANT. BARH. L.V." xfId="74"/>
    <cellStyle name="Emphasis 1" xfId="158"/>
    <cellStyle name="Emphasis 1 2" xfId="443"/>
    <cellStyle name="Emphasis 2" xfId="159"/>
    <cellStyle name="Emphasis 2 2" xfId="444"/>
    <cellStyle name="Emphasis 3" xfId="160"/>
    <cellStyle name="Emphasis 3 2" xfId="445"/>
    <cellStyle name="Encabezado 1" xfId="297" builtinId="16" customBuiltin="1"/>
    <cellStyle name="Encabezado 4" xfId="300" builtinId="19" customBuiltin="1"/>
    <cellStyle name="Encabezado 4 2" xfId="161"/>
    <cellStyle name="Encabezado 4 2 2" xfId="446"/>
    <cellStyle name="Encabezado 4 3" xfId="447"/>
    <cellStyle name="Encabezado 4 4" xfId="448"/>
    <cellStyle name="Énfasis 1" xfId="3"/>
    <cellStyle name="Énfasis 2" xfId="4"/>
    <cellStyle name="Énfasis 3" xfId="5"/>
    <cellStyle name="Énfasis1 - 20%" xfId="7"/>
    <cellStyle name="Énfasis1 - 20% 2" xfId="449"/>
    <cellStyle name="Énfasis1 - 40%" xfId="8"/>
    <cellStyle name="Énfasis1 - 40% 2" xfId="450"/>
    <cellStyle name="Énfasis1 - 60%" xfId="9"/>
    <cellStyle name="Énfasis1 2" xfId="162"/>
    <cellStyle name="Énfasis1 2 2" xfId="451"/>
    <cellStyle name="Énfasis1 3" xfId="452"/>
    <cellStyle name="Énfasis1 4" xfId="453"/>
    <cellStyle name="Énfasis2 - 20%" xfId="11"/>
    <cellStyle name="Énfasis2 - 20% 2" xfId="454"/>
    <cellStyle name="Énfasis2 - 40%" xfId="12"/>
    <cellStyle name="Énfasis2 - 40% 2" xfId="455"/>
    <cellStyle name="Énfasis2 - 60%" xfId="13"/>
    <cellStyle name="Énfasis2 2" xfId="163"/>
    <cellStyle name="Énfasis2 2 2" xfId="456"/>
    <cellStyle name="Énfasis2 3" xfId="457"/>
    <cellStyle name="Énfasis2 4" xfId="458"/>
    <cellStyle name="Énfasis3 - 20%" xfId="15"/>
    <cellStyle name="Énfasis3 - 20% 2" xfId="459"/>
    <cellStyle name="Énfasis3 - 40%" xfId="16"/>
    <cellStyle name="Énfasis3 - 40% 2" xfId="460"/>
    <cellStyle name="Énfasis3 - 60%" xfId="17"/>
    <cellStyle name="Énfasis3 2" xfId="164"/>
    <cellStyle name="Énfasis3 2 2" xfId="461"/>
    <cellStyle name="Énfasis3 3" xfId="462"/>
    <cellStyle name="Énfasis3 4" xfId="463"/>
    <cellStyle name="Énfasis4 - 20%" xfId="19"/>
    <cellStyle name="Énfasis4 - 20% 2" xfId="464"/>
    <cellStyle name="Énfasis4 - 40%" xfId="20"/>
    <cellStyle name="Énfasis4 - 40% 2" xfId="465"/>
    <cellStyle name="Énfasis4 - 60%" xfId="21"/>
    <cellStyle name="Énfasis4 2" xfId="165"/>
    <cellStyle name="Énfasis4 2 2" xfId="466"/>
    <cellStyle name="Énfasis4 3" xfId="467"/>
    <cellStyle name="Énfasis4 4" xfId="468"/>
    <cellStyle name="Énfasis5 - 20%" xfId="23"/>
    <cellStyle name="Énfasis5 - 20% 2" xfId="469"/>
    <cellStyle name="Énfasis5 - 40%" xfId="24"/>
    <cellStyle name="Énfasis5 - 40% 2" xfId="470"/>
    <cellStyle name="Énfasis5 - 60%" xfId="25"/>
    <cellStyle name="Énfasis5 2" xfId="166"/>
    <cellStyle name="Énfasis5 2 2" xfId="471"/>
    <cellStyle name="Énfasis5 3" xfId="472"/>
    <cellStyle name="Énfasis5 4" xfId="473"/>
    <cellStyle name="Énfasis6 - 20%" xfId="27"/>
    <cellStyle name="Énfasis6 - 20% 2" xfId="474"/>
    <cellStyle name="Énfasis6 - 40%" xfId="28"/>
    <cellStyle name="Énfasis6 - 40% 2" xfId="475"/>
    <cellStyle name="Énfasis6 - 60%" xfId="29"/>
    <cellStyle name="Énfasis6 2" xfId="167"/>
    <cellStyle name="Énfasis6 2 2" xfId="476"/>
    <cellStyle name="Énfasis6 3" xfId="477"/>
    <cellStyle name="Énfasis6 4" xfId="478"/>
    <cellStyle name="Entrada" xfId="301" builtinId="20" customBuiltin="1"/>
    <cellStyle name="Entrada 2" xfId="168"/>
    <cellStyle name="Entrada 2 2" xfId="479"/>
    <cellStyle name="Entrada 3" xfId="480"/>
    <cellStyle name="Entrada 4" xfId="481"/>
    <cellStyle name="Entrada 5" xfId="227"/>
    <cellStyle name="Euro" xfId="30"/>
    <cellStyle name="Euro 2" xfId="169"/>
    <cellStyle name="Euro 2 2" xfId="230"/>
    <cellStyle name="Euro 2 3" xfId="253"/>
    <cellStyle name="Euro 2 4" xfId="229"/>
    <cellStyle name="Euro 3" xfId="482"/>
    <cellStyle name="Euro 4" xfId="228"/>
    <cellStyle name="Euro_Adicional No. 1  Edificio Biblioteca y Verja y parqueos  Universidad ITECO" xfId="483"/>
    <cellStyle name="Excel Built-in Comma" xfId="484"/>
    <cellStyle name="Excel Built-in Normal" xfId="485"/>
    <cellStyle name="Explanatory Text" xfId="170"/>
    <cellStyle name="F2" xfId="486"/>
    <cellStyle name="F3" xfId="487"/>
    <cellStyle name="F4" xfId="488"/>
    <cellStyle name="F5" xfId="489"/>
    <cellStyle name="F6" xfId="490"/>
    <cellStyle name="F7" xfId="491"/>
    <cellStyle name="F8" xfId="492"/>
    <cellStyle name="Followed Hyperlink" xfId="493"/>
    <cellStyle name="Heading 2" xfId="69"/>
    <cellStyle name="Heading 2 2" xfId="298"/>
    <cellStyle name="Heading 3" xfId="70"/>
    <cellStyle name="Heading 3 2" xfId="299"/>
    <cellStyle name="Hipervínculo 2" xfId="681"/>
    <cellStyle name="Hipervínculo visitado 2" xfId="494"/>
    <cellStyle name="Hyperlink" xfId="495"/>
    <cellStyle name="Incorrecto 2" xfId="171"/>
    <cellStyle name="Incorrecto 2 2" xfId="496"/>
    <cellStyle name="Incorrecto 3" xfId="497"/>
    <cellStyle name="Incorrecto 4" xfId="498"/>
    <cellStyle name="Millares" xfId="32" builtinId="3"/>
    <cellStyle name="Millares [0] 2" xfId="33"/>
    <cellStyle name="Millares [0] 5" xfId="34"/>
    <cellStyle name="Millares [0] 6" xfId="35"/>
    <cellStyle name="Millares 10" xfId="36"/>
    <cellStyle name="Millares 10 2" xfId="499"/>
    <cellStyle name="Millares 10 2 2" xfId="677"/>
    <cellStyle name="Millares 10 3" xfId="308"/>
    <cellStyle name="Millares 11" xfId="37"/>
    <cellStyle name="Millares 11 2" xfId="500"/>
    <cellStyle name="Millares 11 3" xfId="315"/>
    <cellStyle name="Millares 12" xfId="81"/>
    <cellStyle name="Millares 12 2" xfId="38"/>
    <cellStyle name="Millares 12 3" xfId="216"/>
    <cellStyle name="Millares 12 4" xfId="659"/>
    <cellStyle name="Millares 13" xfId="89"/>
    <cellStyle name="Millares 13 2" xfId="502"/>
    <cellStyle name="Millares 13 3" xfId="501"/>
    <cellStyle name="Millares 14" xfId="503"/>
    <cellStyle name="Millares 15" xfId="504"/>
    <cellStyle name="Millares 16" xfId="505"/>
    <cellStyle name="Millares 17" xfId="506"/>
    <cellStyle name="Millares 18" xfId="83"/>
    <cellStyle name="Millares 18 2" xfId="92"/>
    <cellStyle name="Millares 18 3" xfId="507"/>
    <cellStyle name="Millares 19" xfId="508"/>
    <cellStyle name="Millares 19 2" xfId="686"/>
    <cellStyle name="Millares 2" xfId="39"/>
    <cellStyle name="Millares 2 10" xfId="509"/>
    <cellStyle name="Millares 2 2" xfId="40"/>
    <cellStyle name="Millares 2 2 2" xfId="174"/>
    <cellStyle name="Millares 2 2 2 2" xfId="313"/>
    <cellStyle name="Millares 2 2 3" xfId="173"/>
    <cellStyle name="Millares 2 2 3 2" xfId="327"/>
    <cellStyle name="Millares 2 2 4" xfId="231"/>
    <cellStyle name="Millares 2 2_Almacen Agregados Planta de Dovelas" xfId="175"/>
    <cellStyle name="Millares 2 3" xfId="41"/>
    <cellStyle name="Millares 2 3 2" xfId="328"/>
    <cellStyle name="Millares 2 3 3" xfId="232"/>
    <cellStyle name="Millares 2 4" xfId="79"/>
    <cellStyle name="Millares 2 4 2" xfId="322"/>
    <cellStyle name="Millares 2 5" xfId="172"/>
    <cellStyle name="Millares 2 5 2" xfId="510"/>
    <cellStyle name="Millares 2 6" xfId="668"/>
    <cellStyle name="Millares 2_Almacen Agregados Planta de Dovelas" xfId="176"/>
    <cellStyle name="Millares 20" xfId="664"/>
    <cellStyle name="Millares 3" xfId="42"/>
    <cellStyle name="Millares 3 2" xfId="43"/>
    <cellStyle name="Millares 3 2 2" xfId="178"/>
    <cellStyle name="Millares 3 2 2 2" xfId="329"/>
    <cellStyle name="Millares 3 2 2 3" xfId="680"/>
    <cellStyle name="Millares 3 2 3" xfId="234"/>
    <cellStyle name="Millares 3 3" xfId="179"/>
    <cellStyle name="Millares 3 3 2" xfId="330"/>
    <cellStyle name="Millares 3 3 3" xfId="235"/>
    <cellStyle name="Millares 3 4" xfId="177"/>
    <cellStyle name="Millares 3 4 2" xfId="263"/>
    <cellStyle name="Millares 3 5" xfId="233"/>
    <cellStyle name="Millares 3 6" xfId="674"/>
    <cellStyle name="Millares 3_Almacen Agregados Planta de Dovelas" xfId="180"/>
    <cellStyle name="Millares 4" xfId="44"/>
    <cellStyle name="Millares 4 2" xfId="181"/>
    <cellStyle name="Millares 4 2 2" xfId="331"/>
    <cellStyle name="Millares 4 2 3" xfId="237"/>
    <cellStyle name="Millares 4 3" xfId="238"/>
    <cellStyle name="Millares 4 3 2" xfId="332"/>
    <cellStyle name="Millares 4 4" xfId="256"/>
    <cellStyle name="Millares 4 5" xfId="333"/>
    <cellStyle name="Millares 4 6" xfId="236"/>
    <cellStyle name="Millares 4_Presupuesto Construccion edificio oficina gubernamentales de san juan" xfId="511"/>
    <cellStyle name="Millares 5" xfId="45"/>
    <cellStyle name="Millares 5 2" xfId="46"/>
    <cellStyle name="Millares 5 2 2" xfId="512"/>
    <cellStyle name="Millares 5 2 3" xfId="334"/>
    <cellStyle name="Millares 5 3" xfId="47"/>
    <cellStyle name="Millares 5 3 2" xfId="513"/>
    <cellStyle name="Millares 5 4" xfId="182"/>
    <cellStyle name="Millares 5 5" xfId="239"/>
    <cellStyle name="Millares 5 6" xfId="676"/>
    <cellStyle name="Millares 6" xfId="48"/>
    <cellStyle name="Millares 6 2" xfId="183"/>
    <cellStyle name="Millares 6 2 2" xfId="257"/>
    <cellStyle name="Millares 6 3" xfId="240"/>
    <cellStyle name="Millares 7" xfId="49"/>
    <cellStyle name="Millares 7 2" xfId="184"/>
    <cellStyle name="Millares 7 2 2" xfId="321"/>
    <cellStyle name="Millares 7 2 2 2" xfId="514"/>
    <cellStyle name="Millares 7 2 3" xfId="515"/>
    <cellStyle name="Millares 7 2 4" xfId="516"/>
    <cellStyle name="Millares 7 2 5" xfId="517"/>
    <cellStyle name="Millares 7 2 6" xfId="518"/>
    <cellStyle name="Millares 7 2 7" xfId="519"/>
    <cellStyle name="Millares 7 2 8" xfId="520"/>
    <cellStyle name="Millares 7 2 9" xfId="521"/>
    <cellStyle name="Millares 7 3" xfId="522"/>
    <cellStyle name="Millares 8" xfId="50"/>
    <cellStyle name="Millares 8 2" xfId="185"/>
    <cellStyle name="Millares 8 2 2" xfId="523"/>
    <cellStyle name="Millares 8 2 3" xfId="310"/>
    <cellStyle name="Millares 8 3" xfId="254"/>
    <cellStyle name="Millares 9" xfId="51"/>
    <cellStyle name="Millares 9 2" xfId="312"/>
    <cellStyle name="Millares 9 3" xfId="303"/>
    <cellStyle name="Moneda" xfId="213" builtinId="4"/>
    <cellStyle name="Moneda [0] 2" xfId="524"/>
    <cellStyle name="Moneda 2" xfId="52"/>
    <cellStyle name="Moneda 2 2" xfId="53"/>
    <cellStyle name="Moneda 2 2 2" xfId="76"/>
    <cellStyle name="Moneda 2 2 2 2" xfId="525"/>
    <cellStyle name="Moneda 2 2 2 3" xfId="335"/>
    <cellStyle name="Moneda 2 2 3" xfId="187"/>
    <cellStyle name="Moneda 2 2 4" xfId="242"/>
    <cellStyle name="Moneda 2 3" xfId="186"/>
    <cellStyle name="Moneda 2 3 2" xfId="255"/>
    <cellStyle name="Moneda 2 4" xfId="314"/>
    <cellStyle name="Moneda 2 5" xfId="241"/>
    <cellStyle name="Moneda 2 6" xfId="673"/>
    <cellStyle name="Moneda 2_Almacen Agregados Planta de Dovelas" xfId="188"/>
    <cellStyle name="Moneda 3" xfId="54"/>
    <cellStyle name="Moneda 3 2" xfId="189"/>
    <cellStyle name="Moneda 3 2 2" xfId="336"/>
    <cellStyle name="Moneda 3 2 3" xfId="687"/>
    <cellStyle name="Moneda 3 3" xfId="526"/>
    <cellStyle name="Moneda 3 4" xfId="243"/>
    <cellStyle name="Moneda 4" xfId="84"/>
    <cellStyle name="Moneda 4 2" xfId="337"/>
    <cellStyle name="Moneda 4 3" xfId="244"/>
    <cellStyle name="Moneda 4 4" xfId="660"/>
    <cellStyle name="Moneda 5" xfId="217"/>
    <cellStyle name="Moneda 5 2" xfId="304"/>
    <cellStyle name="Moneda 6" xfId="265"/>
    <cellStyle name="Moneda 6 2" xfId="338"/>
    <cellStyle name="Moneda 7" xfId="527"/>
    <cellStyle name="Moneda 8" xfId="665"/>
    <cellStyle name="Neutral" xfId="55" builtinId="28" customBuiltin="1"/>
    <cellStyle name="Neutral 2" xfId="190"/>
    <cellStyle name="Neutral 2 2" xfId="528"/>
    <cellStyle name="Neutral 3" xfId="529"/>
    <cellStyle name="Neutral 4" xfId="530"/>
    <cellStyle name="No-definido" xfId="191"/>
    <cellStyle name="No-definido 2" xfId="531"/>
    <cellStyle name="Normal" xfId="0" builtinId="0"/>
    <cellStyle name="Normal - Style1" xfId="192"/>
    <cellStyle name="Normal 10" xfId="320"/>
    <cellStyle name="Normal 10 2" xfId="532"/>
    <cellStyle name="Normal 11" xfId="533"/>
    <cellStyle name="Normal 12" xfId="534"/>
    <cellStyle name="Normal 13" xfId="535"/>
    <cellStyle name="Normal 14" xfId="536"/>
    <cellStyle name="Normal 15" xfId="537"/>
    <cellStyle name="Normal 16" xfId="538"/>
    <cellStyle name="Normal 16 2" xfId="685"/>
    <cellStyle name="Normal 17" xfId="539"/>
    <cellStyle name="Normal 18" xfId="540"/>
    <cellStyle name="Normal 19" xfId="541"/>
    <cellStyle name="Normal 2" xfId="56"/>
    <cellStyle name="Normal 2 2" xfId="57"/>
    <cellStyle name="Normal 2 2 2" xfId="193"/>
    <cellStyle name="Normal 2 2 2 2" xfId="58"/>
    <cellStyle name="Normal 2 2 3" xfId="671"/>
    <cellStyle name="Normal 2 3" xfId="59"/>
    <cellStyle name="Normal 2 3 2" xfId="245"/>
    <cellStyle name="Normal 2 3 3" xfId="662"/>
    <cellStyle name="Normal 2 4" xfId="60"/>
    <cellStyle name="Normal 2 4 2" xfId="542"/>
    <cellStyle name="Normal 2 5" xfId="78"/>
    <cellStyle name="Normal 2 5 2 2" xfId="77"/>
    <cellStyle name="Normal 2 6" xfId="666"/>
    <cellStyle name="Normal 2_Adicional No. 1  Edificio Biblioteca y Verja y parqueos  Universidad ITECO" xfId="543"/>
    <cellStyle name="Normal 20" xfId="544"/>
    <cellStyle name="Normal 20 2 2 2 2 4" xfId="679"/>
    <cellStyle name="Normal 21" xfId="545"/>
    <cellStyle name="Normal 22" xfId="546"/>
    <cellStyle name="Normal 23" xfId="547"/>
    <cellStyle name="Normal 24" xfId="318"/>
    <cellStyle name="Normal 24 2" xfId="339"/>
    <cellStyle name="Normal 25" xfId="548"/>
    <cellStyle name="Normal 26" xfId="549"/>
    <cellStyle name="Normal 27" xfId="550"/>
    <cellStyle name="Normal 28" xfId="219"/>
    <cellStyle name="Normal 29" xfId="633"/>
    <cellStyle name="Normal 3" xfId="61"/>
    <cellStyle name="Normal 3 2" xfId="62"/>
    <cellStyle name="Normal 3 2 2" xfId="195"/>
    <cellStyle name="Normal 3 2 3" xfId="683"/>
    <cellStyle name="Normal 3 3" xfId="194"/>
    <cellStyle name="Normal 3 3 2" xfId="551"/>
    <cellStyle name="Normal 3 4" xfId="552"/>
    <cellStyle name="Normal 3 5" xfId="246"/>
    <cellStyle name="Normal 3 6" xfId="667"/>
    <cellStyle name="Normal 3_Presupuesto Construccion Parque El Lucero San Juan de la Maguana" xfId="553"/>
    <cellStyle name="Normal 30" xfId="655"/>
    <cellStyle name="Normal 31" xfId="656"/>
    <cellStyle name="Normal 32" xfId="661"/>
    <cellStyle name="Normal 33" xfId="663"/>
    <cellStyle name="Normal 4" xfId="63"/>
    <cellStyle name="Normal 4 10" xfId="554"/>
    <cellStyle name="Normal 4 11" xfId="555"/>
    <cellStyle name="Normal 4 12" xfId="556"/>
    <cellStyle name="Normal 4 13" xfId="557"/>
    <cellStyle name="Normal 4 14" xfId="558"/>
    <cellStyle name="Normal 4 15" xfId="316"/>
    <cellStyle name="Normal 4 16" xfId="670"/>
    <cellStyle name="Normal 4 2" xfId="196"/>
    <cellStyle name="Normal 4 2 2" xfId="559"/>
    <cellStyle name="Normal 4 2 3" xfId="678"/>
    <cellStyle name="Normal 4 3" xfId="319"/>
    <cellStyle name="Normal 4 3 2" xfId="347"/>
    <cellStyle name="Normal 4 4" xfId="560"/>
    <cellStyle name="Normal 4 5" xfId="561"/>
    <cellStyle name="Normal 4 6" xfId="562"/>
    <cellStyle name="Normal 4 7" xfId="563"/>
    <cellStyle name="Normal 4 8" xfId="564"/>
    <cellStyle name="Normal 4 9" xfId="565"/>
    <cellStyle name="Normal 4_Administration_Building_-_Lista_de_Partidas_y_Cantidades_-_(PVDC-004)_REVC mod" xfId="566"/>
    <cellStyle name="Normal 5" xfId="80"/>
    <cellStyle name="Normal 5 10" xfId="567"/>
    <cellStyle name="Normal 5 11" xfId="568"/>
    <cellStyle name="Normal 5 12" xfId="569"/>
    <cellStyle name="Normal 5 13" xfId="570"/>
    <cellStyle name="Normal 5 14" xfId="571"/>
    <cellStyle name="Normal 5 15" xfId="317"/>
    <cellStyle name="Normal 5 16" xfId="672"/>
    <cellStyle name="Normal 5 18 2" xfId="91"/>
    <cellStyle name="Normal 5 18 2 2" xfId="215"/>
    <cellStyle name="Normal 5 18 2 3" xfId="658"/>
    <cellStyle name="Normal 5 2" xfId="88"/>
    <cellStyle name="Normal 5 2 2" xfId="340"/>
    <cellStyle name="Normal 5 2 3" xfId="657"/>
    <cellStyle name="Normal 5 2 3 2" xfId="214"/>
    <cellStyle name="Normal 5 3" xfId="572"/>
    <cellStyle name="Normal 5 4" xfId="573"/>
    <cellStyle name="Normal 5 5" xfId="574"/>
    <cellStyle name="Normal 5 6" xfId="575"/>
    <cellStyle name="Normal 5 7" xfId="576"/>
    <cellStyle name="Normal 5 8" xfId="577"/>
    <cellStyle name="Normal 5 9" xfId="578"/>
    <cellStyle name="Normal 5_Administration_Building_-_Lista_de_Partidas_y_Cantidades_-_(PVDC-004)_REVC mod" xfId="579"/>
    <cellStyle name="Normal 6" xfId="85"/>
    <cellStyle name="Normal 6 2" xfId="87"/>
    <cellStyle name="Normal 6 3" xfId="197"/>
    <cellStyle name="Normal 6 4" xfId="344"/>
    <cellStyle name="Normal 7" xfId="90"/>
    <cellStyle name="Normal 7 2" xfId="581"/>
    <cellStyle name="Normal 7 3" xfId="580"/>
    <cellStyle name="Normal 8" xfId="93"/>
    <cellStyle name="Normal 8 2" xfId="582"/>
    <cellStyle name="Normal 9" xfId="345"/>
    <cellStyle name="Normal 9 2" xfId="73"/>
    <cellStyle name="Normal_ANALISIS DE COSTO EN EDIFICACIONES JUNIO 2006" xfId="75"/>
    <cellStyle name="Notas" xfId="305" builtinId="10" customBuiltin="1"/>
    <cellStyle name="Notas 2" xfId="198"/>
    <cellStyle name="Notas 2 2" xfId="341"/>
    <cellStyle name="Notas 2 3" xfId="648"/>
    <cellStyle name="Notas 3" xfId="583"/>
    <cellStyle name="Notas 3 2" xfId="653"/>
    <cellStyle name="Notas 4" xfId="584"/>
    <cellStyle name="Notas 4 2" xfId="654"/>
    <cellStyle name="Notas 5" xfId="247"/>
    <cellStyle name="Notas 6" xfId="639"/>
    <cellStyle name="Note 2" xfId="342"/>
    <cellStyle name="Note 2 2" xfId="649"/>
    <cellStyle name="Note 3" xfId="647"/>
    <cellStyle name="Output" xfId="68"/>
    <cellStyle name="Output 2" xfId="306"/>
    <cellStyle name="Percent 2" xfId="248"/>
    <cellStyle name="Percent 2 2" xfId="249"/>
    <cellStyle name="Percent 2 3" xfId="261"/>
    <cellStyle name="Percent 3" xfId="250"/>
    <cellStyle name="Percent 3 2" xfId="585"/>
    <cellStyle name="Percent 4" xfId="586"/>
    <cellStyle name="Porcentaje 2" xfId="82"/>
    <cellStyle name="Porcentaje 2 2" xfId="638"/>
    <cellStyle name="Porcentaje 2 2 2" xfId="688"/>
    <cellStyle name="Porcentaje 2 3" xfId="675"/>
    <cellStyle name="Porcentaje 3" xfId="218"/>
    <cellStyle name="Porcentaje 4" xfId="669"/>
    <cellStyle name="Porcentual 10" xfId="587"/>
    <cellStyle name="Porcentual 2" xfId="64"/>
    <cellStyle name="Porcentual 2 2" xfId="200"/>
    <cellStyle name="Porcentual 2 2 2" xfId="259"/>
    <cellStyle name="Porcentual 2 3" xfId="199"/>
    <cellStyle name="Porcentual 2 3 2" xfId="588"/>
    <cellStyle name="Porcentual 2 4" xfId="589"/>
    <cellStyle name="Porcentual 2 5" xfId="251"/>
    <cellStyle name="Porcentual 2_ANALISIS COSTOS PORTICOS GRAN TECHO" xfId="201"/>
    <cellStyle name="Porcentual 3" xfId="65"/>
    <cellStyle name="Porcentual 3 10" xfId="590"/>
    <cellStyle name="Porcentual 3 11" xfId="591"/>
    <cellStyle name="Porcentual 3 12" xfId="592"/>
    <cellStyle name="Porcentual 3 13" xfId="593"/>
    <cellStyle name="Porcentual 3 14" xfId="594"/>
    <cellStyle name="Porcentual 3 15" xfId="595"/>
    <cellStyle name="Porcentual 3 16" xfId="264"/>
    <cellStyle name="Porcentual 3 2" xfId="202"/>
    <cellStyle name="Porcentual 3 2 2" xfId="343"/>
    <cellStyle name="Porcentual 3 3" xfId="596"/>
    <cellStyle name="Porcentual 3 4" xfId="597"/>
    <cellStyle name="Porcentual 3 5" xfId="598"/>
    <cellStyle name="Porcentual 3 6" xfId="599"/>
    <cellStyle name="Porcentual 3 7" xfId="600"/>
    <cellStyle name="Porcentual 3 8" xfId="601"/>
    <cellStyle name="Porcentual 3 9" xfId="602"/>
    <cellStyle name="Porcentual 4" xfId="66"/>
    <cellStyle name="Porcentual 4 2" xfId="203"/>
    <cellStyle name="Porcentual 4 3" xfId="603"/>
    <cellStyle name="Porcentual 5" xfId="67"/>
    <cellStyle name="Porcentual 5 2" xfId="204"/>
    <cellStyle name="Porcentual 5 2 2" xfId="606"/>
    <cellStyle name="Porcentual 5 2 3" xfId="605"/>
    <cellStyle name="Porcentual 5 3" xfId="604"/>
    <cellStyle name="Porcentual 6" xfId="607"/>
    <cellStyle name="Porcentual 7" xfId="608"/>
    <cellStyle name="Porcentual 8" xfId="609"/>
    <cellStyle name="Porcentual 9" xfId="610"/>
    <cellStyle name="Salida 2" xfId="205"/>
    <cellStyle name="Salida 2 2" xfId="611"/>
    <cellStyle name="Salida 3" xfId="612"/>
    <cellStyle name="Salida 4" xfId="613"/>
    <cellStyle name="Sheet Title" xfId="206"/>
    <cellStyle name="Texto de advertencia" xfId="307" builtinId="11" customBuiltin="1"/>
    <cellStyle name="Texto de advertencia 2" xfId="615"/>
    <cellStyle name="Texto de advertencia 3" xfId="616"/>
    <cellStyle name="Texto de advertencia 4" xfId="617"/>
    <cellStyle name="Texto de advertencia 5" xfId="252"/>
    <cellStyle name="Texto explicativo 2" xfId="207"/>
    <cellStyle name="Texto explicativo 2 2" xfId="618"/>
    <cellStyle name="Texto explicativo 3" xfId="619"/>
    <cellStyle name="Texto explicativo 4" xfId="620"/>
    <cellStyle name="Title" xfId="208"/>
    <cellStyle name="Título 1 2" xfId="621"/>
    <cellStyle name="Título 1 3" xfId="622"/>
    <cellStyle name="Título 1 4" xfId="623"/>
    <cellStyle name="Título 2 2" xfId="210"/>
    <cellStyle name="Título 2 2 2" xfId="624"/>
    <cellStyle name="Título 2 3" xfId="625"/>
    <cellStyle name="Título 2 4" xfId="626"/>
    <cellStyle name="Título 3 2" xfId="211"/>
    <cellStyle name="Título 3 2 2" xfId="627"/>
    <cellStyle name="Título 3 3" xfId="628"/>
    <cellStyle name="Título 3 4" xfId="629"/>
    <cellStyle name="Título 4" xfId="209"/>
    <cellStyle name="Título 4 2" xfId="630"/>
    <cellStyle name="Título 5" xfId="631"/>
    <cellStyle name="Título 6" xfId="632"/>
    <cellStyle name="Título de hoja" xfId="71"/>
    <cellStyle name="Total" xfId="72" builtinId="25" customBuiltin="1"/>
    <cellStyle name="Total 2" xfId="212"/>
    <cellStyle name="Total 2 2" xfId="634"/>
    <cellStyle name="Total 3" xfId="635"/>
    <cellStyle name="Total 4" xfId="636"/>
    <cellStyle name="Währung" xfId="637"/>
  </cellStyles>
  <dxfs count="0"/>
  <tableStyles count="0" defaultTableStyle="TableStyleMedium9" defaultPivotStyle="PivotStyleLight16"/>
  <colors>
    <mruColors>
      <color rgb="FFCCCC00"/>
      <color rgb="FFF5F38B"/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123825</xdr:rowOff>
    </xdr:from>
    <xdr:to>
      <xdr:col>1</xdr:col>
      <xdr:colOff>1495425</xdr:colOff>
      <xdr:row>2</xdr:row>
      <xdr:rowOff>38099</xdr:rowOff>
    </xdr:to>
    <xdr:pic>
      <xdr:nvPicPr>
        <xdr:cNvPr id="2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209551" y="123825"/>
          <a:ext cx="1800224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5</xdr:row>
          <xdr:rowOff>76200</xdr:rowOff>
        </xdr:from>
        <xdr:to>
          <xdr:col>13</xdr:col>
          <xdr:colOff>19050</xdr:colOff>
          <xdr:row>19</xdr:row>
          <xdr:rowOff>161925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11</xdr:col>
          <xdr:colOff>809625</xdr:colOff>
          <xdr:row>131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134</xdr:row>
          <xdr:rowOff>0</xdr:rowOff>
        </xdr:from>
        <xdr:to>
          <xdr:col>12</xdr:col>
          <xdr:colOff>657225</xdr:colOff>
          <xdr:row>256</xdr:row>
          <xdr:rowOff>142875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7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314324</xdr:rowOff>
    </xdr:from>
    <xdr:to>
      <xdr:col>1</xdr:col>
      <xdr:colOff>2283043</xdr:colOff>
      <xdr:row>3</xdr:row>
      <xdr:rowOff>47624</xdr:rowOff>
    </xdr:to>
    <xdr:pic>
      <xdr:nvPicPr>
        <xdr:cNvPr id="3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238125" y="314324"/>
          <a:ext cx="2502118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Trabajos\Proyectos\Costos\Proyectos\Galerias\pres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sbeth.rodriguez.SEDE\Downloads\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PC\Costos\Proyectos\En%20Ejecucion\Puentes%20HGeorge\Cubicaciones\Trabajos\Proyectos\Costos\Proyectos\Galerias\pres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TRABAJOS\Tony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ctor%20Santos\Reconstruccion%20%20Autopista%20Duarte%20Vieja\Reconstruccion%20%20Autopista%20Duarte%20Vieja\Presupuesto%20Reconstruccion%20Duarte%20santiago-Sto%20Dgo%20compl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aul%20N.%20%20Rizek\My%20Documents\Carretera%20Sto.%20Dgo.%20-%20Samana\Precios%20Rincon%20de%20Molinill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o.gonzalez\Google%20Drive\HQC%20Ingenieria%20y%20Servicios%20SRL\0%20-%20Memorias\Documentos\Calculos%20y%20Tablas\Plantilla%20Presupuesto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NAS ADMIN"/>
      <sheetName val="Analisis Comunes"/>
      <sheetName val="APU Hormigón Armado O. ADMIN"/>
    </sheetNames>
    <sheetDataSet>
      <sheetData sheetId="0"/>
      <sheetData sheetId="1">
        <row r="4">
          <cell r="A4" t="str">
            <v>01</v>
          </cell>
          <cell r="B4" t="str">
            <v>Capítulo</v>
          </cell>
          <cell r="C4" t="str">
            <v>ANALISIS UNITARIOS COMUNES:</v>
          </cell>
          <cell r="D4">
            <v>0</v>
          </cell>
          <cell r="E4" t="str">
            <v/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01.01</v>
          </cell>
          <cell r="B5" t="str">
            <v>Capítulo</v>
          </cell>
          <cell r="C5" t="str">
            <v>PRELIMINARES:</v>
          </cell>
          <cell r="D5">
            <v>0</v>
          </cell>
          <cell r="E5" t="str">
            <v/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01.01.01</v>
          </cell>
          <cell r="B6" t="str">
            <v>Partida</v>
          </cell>
          <cell r="C6" t="str">
            <v>Fumigación área de Construcción</v>
          </cell>
          <cell r="D6">
            <v>1</v>
          </cell>
          <cell r="E6" t="str">
            <v>m²</v>
          </cell>
          <cell r="F6">
            <v>0</v>
          </cell>
          <cell r="G6">
            <v>20.650000000000002</v>
          </cell>
          <cell r="H6">
            <v>2.8079999999999998</v>
          </cell>
          <cell r="I6">
            <v>23.458000000000002</v>
          </cell>
        </row>
        <row r="7">
          <cell r="A7" t="str">
            <v>P2402189</v>
          </cell>
          <cell r="B7" t="str">
            <v>Material</v>
          </cell>
          <cell r="C7" t="str">
            <v>Plaguicida/Insecticida marca LORBAN</v>
          </cell>
          <cell r="D7">
            <v>0.02</v>
          </cell>
          <cell r="E7" t="str">
            <v>lt</v>
          </cell>
          <cell r="F7">
            <v>780</v>
          </cell>
          <cell r="G7">
            <v>15.6</v>
          </cell>
          <cell r="H7">
            <v>2.8079999999999998</v>
          </cell>
          <cell r="I7">
            <v>18.408000000000001</v>
          </cell>
        </row>
        <row r="8">
          <cell r="A8" t="str">
            <v>H2402189</v>
          </cell>
          <cell r="B8" t="str">
            <v>Mano de obra</v>
          </cell>
          <cell r="C8" t="str">
            <v>M.O. Fumigación de superficie</v>
          </cell>
          <cell r="D8">
            <v>1</v>
          </cell>
          <cell r="E8" t="str">
            <v>m²</v>
          </cell>
          <cell r="F8">
            <v>5</v>
          </cell>
          <cell r="G8">
            <v>5</v>
          </cell>
          <cell r="H8">
            <v>0</v>
          </cell>
          <cell r="I8">
            <v>5</v>
          </cell>
        </row>
        <row r="9">
          <cell r="A9" t="str">
            <v>H%FH</v>
          </cell>
          <cell r="B9" t="str">
            <v>Otros</v>
          </cell>
          <cell r="C9" t="str">
            <v>Factor Herramientas</v>
          </cell>
          <cell r="D9">
            <v>1</v>
          </cell>
          <cell r="E9" t="str">
            <v>%</v>
          </cell>
          <cell r="F9">
            <v>5</v>
          </cell>
          <cell r="G9">
            <v>0.05</v>
          </cell>
          <cell r="H9">
            <v>0</v>
          </cell>
          <cell r="I9">
            <v>0.05</v>
          </cell>
        </row>
        <row r="10">
          <cell r="A10">
            <v>0</v>
          </cell>
          <cell r="B10">
            <v>0</v>
          </cell>
          <cell r="C10" t="str">
            <v>Total 01.01.01</v>
          </cell>
          <cell r="D10">
            <v>1</v>
          </cell>
          <cell r="E10">
            <v>0</v>
          </cell>
          <cell r="G10">
            <v>20.650000000000002</v>
          </cell>
          <cell r="H10">
            <v>2.8079999999999998</v>
          </cell>
          <cell r="I10">
            <v>23.458000000000002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01.02</v>
          </cell>
          <cell r="B14" t="str">
            <v>Capítulo</v>
          </cell>
          <cell r="C14" t="str">
            <v>MOVIMIMIENTO DE TIERRA: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01.02.01</v>
          </cell>
          <cell r="B15" t="str">
            <v>Partida</v>
          </cell>
          <cell r="C15" t="str">
            <v>Bote de Materiales a 5 km</v>
          </cell>
          <cell r="D15">
            <v>1</v>
          </cell>
          <cell r="E15" t="str">
            <v>m³e</v>
          </cell>
          <cell r="F15">
            <v>0</v>
          </cell>
          <cell r="G15">
            <v>267.76271186440675</v>
          </cell>
          <cell r="H15">
            <v>0</v>
          </cell>
          <cell r="I15">
            <v>267.76271186440675</v>
          </cell>
        </row>
        <row r="16">
          <cell r="A16" t="str">
            <v>SCMT003</v>
          </cell>
          <cell r="B16" t="str">
            <v>Otros</v>
          </cell>
          <cell r="C16" t="str">
            <v>Sub-Contrato Bote de Material Producto de Excavación @5 Km</v>
          </cell>
          <cell r="D16">
            <v>1</v>
          </cell>
          <cell r="E16" t="str">
            <v>m³</v>
          </cell>
          <cell r="F16">
            <v>267.76271186440675</v>
          </cell>
          <cell r="G16">
            <v>267.76271186440675</v>
          </cell>
          <cell r="H16">
            <v>0</v>
          </cell>
          <cell r="I16">
            <v>267.76271186440675</v>
          </cell>
        </row>
        <row r="17">
          <cell r="A17">
            <v>0</v>
          </cell>
          <cell r="B17">
            <v>0</v>
          </cell>
          <cell r="C17" t="str">
            <v>Total 01.02.01</v>
          </cell>
          <cell r="D17">
            <v>1</v>
          </cell>
          <cell r="E17">
            <v>0</v>
          </cell>
          <cell r="G17">
            <v>267.76271186440675</v>
          </cell>
          <cell r="H17">
            <v>0</v>
          </cell>
          <cell r="I17">
            <v>267.76271186440675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01.02.02</v>
          </cell>
          <cell r="B19" t="str">
            <v>Partida</v>
          </cell>
          <cell r="C19" t="str">
            <v>Capa de material granular con finos no plásticos. Capa con espesor de 0.20m, en fondo de excavación</v>
          </cell>
          <cell r="D19">
            <v>1</v>
          </cell>
          <cell r="E19" t="str">
            <v>m³c</v>
          </cell>
          <cell r="F19">
            <v>0</v>
          </cell>
          <cell r="G19">
            <v>958</v>
          </cell>
          <cell r="H19">
            <v>0</v>
          </cell>
          <cell r="I19">
            <v>958</v>
          </cell>
        </row>
        <row r="20">
          <cell r="A20" t="str">
            <v>SCMT004</v>
          </cell>
          <cell r="B20" t="str">
            <v>Otros</v>
          </cell>
          <cell r="C20" t="str">
            <v>Sub-Contrato Relleno Compactado c/ Capa de Material Granular</v>
          </cell>
          <cell r="D20">
            <v>1</v>
          </cell>
          <cell r="E20" t="str">
            <v>m³c</v>
          </cell>
          <cell r="F20">
            <v>958</v>
          </cell>
          <cell r="G20">
            <v>958</v>
          </cell>
          <cell r="H20">
            <v>0</v>
          </cell>
          <cell r="I20">
            <v>958</v>
          </cell>
        </row>
        <row r="21">
          <cell r="A21">
            <v>0</v>
          </cell>
          <cell r="B21">
            <v>0</v>
          </cell>
          <cell r="C21" t="str">
            <v>Total 01.02.02</v>
          </cell>
          <cell r="D21">
            <v>1</v>
          </cell>
          <cell r="E21">
            <v>0</v>
          </cell>
          <cell r="G21">
            <v>958</v>
          </cell>
          <cell r="H21">
            <v>0</v>
          </cell>
          <cell r="I21">
            <v>958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01.02.03</v>
          </cell>
          <cell r="B23" t="str">
            <v>Partida</v>
          </cell>
          <cell r="C23" t="str">
            <v>Base granular natural, estabilizada con cemento gris a un 3%</v>
          </cell>
          <cell r="D23">
            <v>1</v>
          </cell>
          <cell r="E23" t="str">
            <v>m³c</v>
          </cell>
          <cell r="F23">
            <v>0</v>
          </cell>
          <cell r="G23">
            <v>1824</v>
          </cell>
          <cell r="H23">
            <v>0</v>
          </cell>
          <cell r="I23">
            <v>1824</v>
          </cell>
        </row>
        <row r="24">
          <cell r="A24" t="str">
            <v>SCMT005</v>
          </cell>
          <cell r="B24" t="str">
            <v>Otros</v>
          </cell>
          <cell r="C24" t="str">
            <v>Sub-Contrato Construcción Base Granular Estabilizada c/Cemento @3%</v>
          </cell>
          <cell r="D24">
            <v>1</v>
          </cell>
          <cell r="E24" t="str">
            <v>m³c</v>
          </cell>
          <cell r="F24">
            <v>1824</v>
          </cell>
          <cell r="G24">
            <v>1824</v>
          </cell>
          <cell r="H24">
            <v>0</v>
          </cell>
          <cell r="I24">
            <v>1824</v>
          </cell>
        </row>
        <row r="25">
          <cell r="A25">
            <v>0</v>
          </cell>
          <cell r="B25">
            <v>0</v>
          </cell>
          <cell r="C25" t="str">
            <v>Total 01.02.03</v>
          </cell>
          <cell r="D25">
            <v>1</v>
          </cell>
          <cell r="E25">
            <v>0</v>
          </cell>
          <cell r="G25">
            <v>1824</v>
          </cell>
          <cell r="H25">
            <v>0</v>
          </cell>
          <cell r="I25">
            <v>1824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01.02.04</v>
          </cell>
          <cell r="B27" t="str">
            <v>Partida</v>
          </cell>
          <cell r="C27" t="str">
            <v>Escarificacion de superfice</v>
          </cell>
          <cell r="D27">
            <v>1</v>
          </cell>
          <cell r="E27" t="str">
            <v>m²</v>
          </cell>
          <cell r="F27">
            <v>0</v>
          </cell>
          <cell r="G27">
            <v>20</v>
          </cell>
          <cell r="H27">
            <v>0</v>
          </cell>
          <cell r="I27">
            <v>20</v>
          </cell>
        </row>
        <row r="28">
          <cell r="A28" t="str">
            <v>SCMT006</v>
          </cell>
          <cell r="B28" t="str">
            <v>Otros</v>
          </cell>
          <cell r="C28" t="str">
            <v>Sub-Contrato Escarificación de Superficie</v>
          </cell>
          <cell r="D28">
            <v>1</v>
          </cell>
          <cell r="E28" t="str">
            <v>m²</v>
          </cell>
          <cell r="F28">
            <v>20</v>
          </cell>
          <cell r="G28">
            <v>20</v>
          </cell>
          <cell r="H28">
            <v>0</v>
          </cell>
          <cell r="I28">
            <v>20</v>
          </cell>
        </row>
        <row r="29">
          <cell r="A29">
            <v>0</v>
          </cell>
          <cell r="B29">
            <v>0</v>
          </cell>
          <cell r="C29" t="str">
            <v>Total 01.02.04</v>
          </cell>
          <cell r="D29">
            <v>1</v>
          </cell>
          <cell r="E29">
            <v>0</v>
          </cell>
          <cell r="G29">
            <v>20</v>
          </cell>
          <cell r="H29">
            <v>0</v>
          </cell>
          <cell r="I29">
            <v>20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01.02.05</v>
          </cell>
          <cell r="B31" t="str">
            <v>Partida</v>
          </cell>
          <cell r="C31" t="str">
            <v>Excavación de Fundaciones</v>
          </cell>
          <cell r="D31">
            <v>1</v>
          </cell>
          <cell r="E31" t="str">
            <v>m³</v>
          </cell>
          <cell r="F31">
            <v>0</v>
          </cell>
          <cell r="G31">
            <v>1300</v>
          </cell>
          <cell r="H31">
            <v>0</v>
          </cell>
          <cell r="I31">
            <v>1300</v>
          </cell>
        </row>
        <row r="32">
          <cell r="A32" t="str">
            <v>SCMT007</v>
          </cell>
          <cell r="B32" t="str">
            <v>Otros</v>
          </cell>
          <cell r="C32" t="str">
            <v>Sub-Contrato Excavación de Zapatas c/ Compresor</v>
          </cell>
          <cell r="D32">
            <v>1</v>
          </cell>
          <cell r="E32" t="str">
            <v>m³</v>
          </cell>
          <cell r="F32">
            <v>1300</v>
          </cell>
          <cell r="G32">
            <v>1300</v>
          </cell>
          <cell r="H32">
            <v>0</v>
          </cell>
          <cell r="I32">
            <v>1300</v>
          </cell>
        </row>
        <row r="33">
          <cell r="A33">
            <v>0</v>
          </cell>
          <cell r="B33">
            <v>0</v>
          </cell>
          <cell r="C33" t="str">
            <v>Total 01.02.05</v>
          </cell>
          <cell r="D33">
            <v>1</v>
          </cell>
          <cell r="E33">
            <v>0</v>
          </cell>
          <cell r="G33">
            <v>1300</v>
          </cell>
          <cell r="H33">
            <v>0</v>
          </cell>
          <cell r="I33">
            <v>1300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01.02.06</v>
          </cell>
          <cell r="B35" t="str">
            <v>Partida</v>
          </cell>
          <cell r="C35" t="str">
            <v>Excavación con Retroexcavadora para zapata de muros de 6", H=1.50 mts de ancho=0.60 mts, espesor=0.25 mts</v>
          </cell>
          <cell r="D35">
            <v>1</v>
          </cell>
          <cell r="E35" t="str">
            <v>m³n</v>
          </cell>
          <cell r="F35">
            <v>0</v>
          </cell>
          <cell r="G35">
            <v>625</v>
          </cell>
          <cell r="H35">
            <v>0</v>
          </cell>
          <cell r="I35">
            <v>625</v>
          </cell>
        </row>
        <row r="36">
          <cell r="A36" t="str">
            <v>SCMT008</v>
          </cell>
          <cell r="B36" t="str">
            <v>Otros</v>
          </cell>
          <cell r="C36" t="str">
            <v>Sub-Contrato Excavación con Retroexcavadora</v>
          </cell>
          <cell r="D36">
            <v>1</v>
          </cell>
          <cell r="E36" t="str">
            <v>m³</v>
          </cell>
          <cell r="F36">
            <v>625</v>
          </cell>
          <cell r="G36">
            <v>625</v>
          </cell>
          <cell r="H36">
            <v>0</v>
          </cell>
          <cell r="I36">
            <v>625</v>
          </cell>
        </row>
        <row r="37">
          <cell r="A37">
            <v>0</v>
          </cell>
          <cell r="B37">
            <v>0</v>
          </cell>
          <cell r="C37" t="str">
            <v>Total 01.02.06</v>
          </cell>
          <cell r="D37">
            <v>1</v>
          </cell>
          <cell r="E37">
            <v>0</v>
          </cell>
          <cell r="G37">
            <v>625</v>
          </cell>
          <cell r="H37">
            <v>0</v>
          </cell>
          <cell r="I37">
            <v>625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01.02.08</v>
          </cell>
          <cell r="B39" t="str">
            <v>Partida</v>
          </cell>
          <cell r="C39" t="str">
            <v>Relleno compactado c/Material Granular</v>
          </cell>
          <cell r="D39">
            <v>1</v>
          </cell>
          <cell r="E39" t="str">
            <v>m³</v>
          </cell>
          <cell r="F39">
            <v>958</v>
          </cell>
          <cell r="G39">
            <v>0</v>
          </cell>
          <cell r="H39">
            <v>0</v>
          </cell>
          <cell r="I39">
            <v>958</v>
          </cell>
        </row>
        <row r="40">
          <cell r="A40" t="str">
            <v>SCMT009</v>
          </cell>
          <cell r="B40" t="str">
            <v>Otros</v>
          </cell>
          <cell r="C40" t="str">
            <v>Sub-Contrato Relleno Compactado c/Material Granular</v>
          </cell>
          <cell r="D40">
            <v>1</v>
          </cell>
          <cell r="E40" t="str">
            <v>m³</v>
          </cell>
          <cell r="F40">
            <v>958</v>
          </cell>
          <cell r="G40">
            <v>958</v>
          </cell>
          <cell r="H40">
            <v>0</v>
          </cell>
          <cell r="I40">
            <v>958</v>
          </cell>
        </row>
        <row r="41">
          <cell r="A41">
            <v>0</v>
          </cell>
          <cell r="B41">
            <v>0</v>
          </cell>
          <cell r="C41" t="str">
            <v>Total 01.02.08</v>
          </cell>
          <cell r="D41">
            <v>1</v>
          </cell>
          <cell r="E41">
            <v>0</v>
          </cell>
          <cell r="F41">
            <v>958</v>
          </cell>
          <cell r="G41">
            <v>0</v>
          </cell>
          <cell r="H41">
            <v>0</v>
          </cell>
          <cell r="I41">
            <v>958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01.02.09</v>
          </cell>
          <cell r="B43" t="str">
            <v>Partida</v>
          </cell>
          <cell r="C43" t="str">
            <v>Relleno de reposicion</v>
          </cell>
          <cell r="D43">
            <v>1</v>
          </cell>
          <cell r="E43" t="str">
            <v>m³</v>
          </cell>
          <cell r="F43">
            <v>0</v>
          </cell>
          <cell r="G43">
            <v>861.49392999999998</v>
          </cell>
          <cell r="H43">
            <v>56.528567999999993</v>
          </cell>
          <cell r="I43">
            <v>918.02249800000004</v>
          </cell>
        </row>
        <row r="44">
          <cell r="A44" t="str">
            <v>P0203002</v>
          </cell>
          <cell r="B44" t="str">
            <v>Material</v>
          </cell>
          <cell r="C44" t="str">
            <v>Caliche</v>
          </cell>
          <cell r="D44">
            <v>1</v>
          </cell>
          <cell r="E44" t="str">
            <v>m³</v>
          </cell>
          <cell r="F44">
            <v>290</v>
          </cell>
          <cell r="G44">
            <v>290</v>
          </cell>
          <cell r="H44">
            <v>52.199999999999996</v>
          </cell>
          <cell r="I44">
            <v>342.2</v>
          </cell>
        </row>
        <row r="45">
          <cell r="A45" t="str">
            <v>P2403199</v>
          </cell>
          <cell r="B45" t="str">
            <v>Material</v>
          </cell>
          <cell r="C45" t="str">
            <v>Agua</v>
          </cell>
          <cell r="D45">
            <v>15.22</v>
          </cell>
          <cell r="E45" t="str">
            <v>gl</v>
          </cell>
          <cell r="F45">
            <v>1.58</v>
          </cell>
          <cell r="G45">
            <v>24.047600000000003</v>
          </cell>
          <cell r="H45">
            <v>4.3285680000000006</v>
          </cell>
          <cell r="I45">
            <v>28.376168000000003</v>
          </cell>
        </row>
        <row r="46">
          <cell r="A46" t="str">
            <v>H0105056</v>
          </cell>
          <cell r="B46" t="str">
            <v>Mano de obra</v>
          </cell>
          <cell r="C46" t="str">
            <v>M.O. Ayudante o Peon</v>
          </cell>
          <cell r="D46">
            <v>0.06</v>
          </cell>
          <cell r="E46" t="str">
            <v>d</v>
          </cell>
          <cell r="F46">
            <v>650.54999999999995</v>
          </cell>
          <cell r="G46">
            <v>39.032999999999994</v>
          </cell>
          <cell r="H46">
            <v>0</v>
          </cell>
          <cell r="I46">
            <v>39.032999999999994</v>
          </cell>
        </row>
        <row r="47">
          <cell r="A47" t="str">
            <v>H0220210</v>
          </cell>
          <cell r="B47" t="str">
            <v>Mano de obra</v>
          </cell>
          <cell r="C47" t="str">
            <v>M.O. Operador Compactador Manual</v>
          </cell>
          <cell r="D47">
            <v>0.15</v>
          </cell>
          <cell r="E47" t="str">
            <v>d</v>
          </cell>
          <cell r="F47">
            <v>831.45</v>
          </cell>
          <cell r="G47">
            <v>124.7175</v>
          </cell>
          <cell r="H47">
            <v>0</v>
          </cell>
          <cell r="I47">
            <v>124.7175</v>
          </cell>
        </row>
        <row r="48">
          <cell r="A48" t="str">
            <v>H0105058</v>
          </cell>
          <cell r="B48" t="str">
            <v>Mano de obra</v>
          </cell>
          <cell r="C48" t="str">
            <v>M.O. Ayudante compatador</v>
          </cell>
          <cell r="D48">
            <v>0.15</v>
          </cell>
          <cell r="E48" t="str">
            <v>d</v>
          </cell>
          <cell r="F48">
            <v>650.54999999999995</v>
          </cell>
          <cell r="G48">
            <v>97.582499999999996</v>
          </cell>
          <cell r="H48">
            <v>0</v>
          </cell>
          <cell r="I48">
            <v>97.582499999999996</v>
          </cell>
        </row>
        <row r="49">
          <cell r="A49" t="str">
            <v>M152125</v>
          </cell>
          <cell r="B49" t="str">
            <v>Maquinaria</v>
          </cell>
          <cell r="C49" t="str">
            <v>Compactador manual Wacker. Incluye combustible</v>
          </cell>
          <cell r="D49">
            <v>0.63</v>
          </cell>
          <cell r="E49" t="str">
            <v>h</v>
          </cell>
          <cell r="F49">
            <v>450</v>
          </cell>
          <cell r="G49">
            <v>283.5</v>
          </cell>
          <cell r="H49">
            <v>0</v>
          </cell>
          <cell r="I49">
            <v>283.5</v>
          </cell>
        </row>
        <row r="50">
          <cell r="A50" t="str">
            <v>H%FH</v>
          </cell>
          <cell r="B50" t="str">
            <v>Otros</v>
          </cell>
          <cell r="C50" t="str">
            <v>Factor Herramientas</v>
          </cell>
          <cell r="D50">
            <v>1</v>
          </cell>
          <cell r="E50" t="str">
            <v>%</v>
          </cell>
          <cell r="F50">
            <v>261.33299999999997</v>
          </cell>
          <cell r="G50">
            <v>2.6133299999999999</v>
          </cell>
          <cell r="H50">
            <v>0</v>
          </cell>
          <cell r="I50">
            <v>2.6133299999999999</v>
          </cell>
        </row>
        <row r="51">
          <cell r="A51">
            <v>0</v>
          </cell>
          <cell r="B51">
            <v>0</v>
          </cell>
          <cell r="C51" t="str">
            <v>Total 01.02.09</v>
          </cell>
          <cell r="D51">
            <v>1</v>
          </cell>
          <cell r="E51">
            <v>0</v>
          </cell>
          <cell r="G51">
            <v>861.49392999999998</v>
          </cell>
          <cell r="H51">
            <v>56.528567999999993</v>
          </cell>
          <cell r="I51">
            <v>918.02249800000004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01.02.11</v>
          </cell>
          <cell r="B53" t="str">
            <v>Partida</v>
          </cell>
          <cell r="C53" t="str">
            <v>Relleno mezcla 65-35% limo y/o arcilla con arena itabo: Suministro, regado, nivelado y compactado, con equipos, e=
0.10 mts. Ap</v>
          </cell>
          <cell r="D53">
            <v>1</v>
          </cell>
          <cell r="E53" t="str">
            <v>m³c</v>
          </cell>
          <cell r="F53">
            <v>0</v>
          </cell>
          <cell r="G53">
            <v>1312.5</v>
          </cell>
          <cell r="H53">
            <v>0</v>
          </cell>
          <cell r="I53">
            <v>1312.5</v>
          </cell>
        </row>
        <row r="54">
          <cell r="A54" t="str">
            <v>SCMT010</v>
          </cell>
          <cell r="B54" t="str">
            <v>Otros</v>
          </cell>
          <cell r="C54" t="str">
            <v>Sub-Contrato Relleno Compactado c/Mezcla 65-35% limo y/o arcilla con Arena Itabo</v>
          </cell>
          <cell r="D54">
            <v>1</v>
          </cell>
          <cell r="E54" t="str">
            <v>m³</v>
          </cell>
          <cell r="F54">
            <v>1312.5</v>
          </cell>
          <cell r="G54">
            <v>1312.5</v>
          </cell>
          <cell r="H54">
            <v>0</v>
          </cell>
          <cell r="I54">
            <v>1312.5</v>
          </cell>
        </row>
        <row r="55">
          <cell r="A55">
            <v>0</v>
          </cell>
          <cell r="B55">
            <v>0</v>
          </cell>
          <cell r="C55" t="str">
            <v>Total 01.02.11</v>
          </cell>
          <cell r="D55">
            <v>1</v>
          </cell>
          <cell r="E55">
            <v>0</v>
          </cell>
          <cell r="G55">
            <v>1312.5</v>
          </cell>
          <cell r="H55">
            <v>0</v>
          </cell>
          <cell r="I55">
            <v>1312.5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01.02.12</v>
          </cell>
          <cell r="B57" t="str">
            <v>Partida</v>
          </cell>
          <cell r="C57" t="str">
            <v>Sub-base granular natural, e=0.28 mts.</v>
          </cell>
          <cell r="D57">
            <v>1</v>
          </cell>
          <cell r="E57" t="str">
            <v>m³c</v>
          </cell>
          <cell r="F57">
            <v>0</v>
          </cell>
          <cell r="G57">
            <v>958</v>
          </cell>
          <cell r="H57">
            <v>0</v>
          </cell>
          <cell r="I57">
            <v>958</v>
          </cell>
        </row>
        <row r="58">
          <cell r="A58" t="str">
            <v>SCMT009</v>
          </cell>
          <cell r="B58" t="str">
            <v>Otros</v>
          </cell>
          <cell r="C58" t="str">
            <v>Sub-Contrato Relleno Compactado c/Material Granular</v>
          </cell>
          <cell r="D58">
            <v>1</v>
          </cell>
          <cell r="E58" t="str">
            <v>m³</v>
          </cell>
          <cell r="F58">
            <v>958</v>
          </cell>
          <cell r="G58">
            <v>958</v>
          </cell>
          <cell r="H58">
            <v>0</v>
          </cell>
          <cell r="I58">
            <v>958</v>
          </cell>
        </row>
        <row r="59">
          <cell r="A59">
            <v>0</v>
          </cell>
          <cell r="B59">
            <v>0</v>
          </cell>
          <cell r="C59" t="str">
            <v>Total 01.02.12</v>
          </cell>
          <cell r="D59">
            <v>1</v>
          </cell>
          <cell r="E59">
            <v>0</v>
          </cell>
          <cell r="G59">
            <v>958</v>
          </cell>
          <cell r="H59">
            <v>0</v>
          </cell>
          <cell r="I59">
            <v>958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01.02.13</v>
          </cell>
          <cell r="B61" t="str">
            <v>Partida</v>
          </cell>
          <cell r="C61" t="str">
            <v>Suministro Grava (1/2") regado y nivelado e= 0.20 mts</v>
          </cell>
          <cell r="D61">
            <v>1</v>
          </cell>
          <cell r="E61" t="str">
            <v>m³</v>
          </cell>
          <cell r="F61">
            <v>0</v>
          </cell>
          <cell r="G61">
            <v>1937.5</v>
          </cell>
          <cell r="H61">
            <v>0</v>
          </cell>
          <cell r="I61">
            <v>1937.5</v>
          </cell>
        </row>
        <row r="62">
          <cell r="A62" t="str">
            <v>SCMT011</v>
          </cell>
          <cell r="B62" t="str">
            <v>Otros</v>
          </cell>
          <cell r="C62" t="str">
            <v>Sub-Contrato Suministro, Regado y Nivelado de Grava (1/2")</v>
          </cell>
          <cell r="D62">
            <v>1</v>
          </cell>
          <cell r="E62" t="str">
            <v>m³</v>
          </cell>
          <cell r="F62">
            <v>1937.5</v>
          </cell>
          <cell r="G62">
            <v>1937.5</v>
          </cell>
          <cell r="H62">
            <v>0</v>
          </cell>
          <cell r="I62">
            <v>1937.5</v>
          </cell>
        </row>
        <row r="63">
          <cell r="A63">
            <v>0</v>
          </cell>
          <cell r="B63">
            <v>0</v>
          </cell>
          <cell r="C63" t="str">
            <v>Total 01.02.13</v>
          </cell>
          <cell r="D63">
            <v>1</v>
          </cell>
          <cell r="E63">
            <v>0</v>
          </cell>
          <cell r="G63">
            <v>1937.5</v>
          </cell>
          <cell r="H63">
            <v>0</v>
          </cell>
          <cell r="I63">
            <v>1937.5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01.02.14</v>
          </cell>
          <cell r="B65" t="str">
            <v>Partida</v>
          </cell>
          <cell r="C65" t="str">
            <v>Suministro Grava (3/4") regado y nivelado e= 0.20 mts</v>
          </cell>
          <cell r="D65">
            <v>1</v>
          </cell>
          <cell r="E65" t="str">
            <v>m³</v>
          </cell>
          <cell r="F65">
            <v>1937.5</v>
          </cell>
          <cell r="G65">
            <v>0</v>
          </cell>
          <cell r="H65">
            <v>0</v>
          </cell>
          <cell r="I65">
            <v>1937.5</v>
          </cell>
        </row>
        <row r="66">
          <cell r="A66" t="str">
            <v>SCMT012</v>
          </cell>
          <cell r="B66" t="str">
            <v>Otros</v>
          </cell>
          <cell r="C66" t="str">
            <v>Sub-Contrato Suministro, Regado y Nivelado de Grava (3/4")</v>
          </cell>
          <cell r="D66">
            <v>1</v>
          </cell>
          <cell r="E66" t="str">
            <v>m³</v>
          </cell>
          <cell r="F66">
            <v>1937.5</v>
          </cell>
          <cell r="G66">
            <v>1937.5</v>
          </cell>
          <cell r="H66">
            <v>0</v>
          </cell>
          <cell r="I66">
            <v>1937.5</v>
          </cell>
        </row>
        <row r="67">
          <cell r="A67">
            <v>0</v>
          </cell>
          <cell r="B67">
            <v>0</v>
          </cell>
          <cell r="C67" t="str">
            <v>Total 01.02.14</v>
          </cell>
          <cell r="D67">
            <v>1</v>
          </cell>
          <cell r="E67">
            <v>0</v>
          </cell>
          <cell r="F67">
            <v>1937.5</v>
          </cell>
          <cell r="G67">
            <v>0</v>
          </cell>
          <cell r="H67">
            <v>0</v>
          </cell>
          <cell r="I67">
            <v>1937.5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01.02.15</v>
          </cell>
          <cell r="B69" t="str">
            <v>Partida</v>
          </cell>
          <cell r="C69" t="str">
            <v>Suministro arena itabo, regado y nivelado e= 0.20 mts</v>
          </cell>
          <cell r="D69">
            <v>1</v>
          </cell>
          <cell r="E69" t="str">
            <v>m³</v>
          </cell>
          <cell r="F69">
            <v>0</v>
          </cell>
          <cell r="G69">
            <v>1312.5</v>
          </cell>
          <cell r="H69">
            <v>0</v>
          </cell>
          <cell r="I69">
            <v>1312.5</v>
          </cell>
        </row>
        <row r="70">
          <cell r="A70" t="str">
            <v>SCMT013</v>
          </cell>
          <cell r="B70" t="str">
            <v>Otros</v>
          </cell>
          <cell r="C70" t="str">
            <v>Sub-Contrato Suministro, Regado y Nivelado de Arena Itabo</v>
          </cell>
          <cell r="D70">
            <v>1</v>
          </cell>
          <cell r="E70" t="str">
            <v>m³</v>
          </cell>
          <cell r="F70">
            <v>1312.5</v>
          </cell>
          <cell r="G70">
            <v>1312.5</v>
          </cell>
          <cell r="H70">
            <v>0</v>
          </cell>
          <cell r="I70">
            <v>1312.5</v>
          </cell>
        </row>
        <row r="71">
          <cell r="A71">
            <v>0</v>
          </cell>
          <cell r="B71">
            <v>0</v>
          </cell>
          <cell r="C71" t="str">
            <v>Total 01.02.15</v>
          </cell>
          <cell r="D71">
            <v>1</v>
          </cell>
          <cell r="E71">
            <v>0</v>
          </cell>
          <cell r="G71">
            <v>1312.5</v>
          </cell>
          <cell r="H71">
            <v>0</v>
          </cell>
          <cell r="I71">
            <v>1312.5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01.02.16</v>
          </cell>
          <cell r="B73" t="str">
            <v>Partida</v>
          </cell>
          <cell r="C73" t="str">
            <v>Terminación de sub-rasante</v>
          </cell>
          <cell r="D73">
            <v>1</v>
          </cell>
          <cell r="E73" t="str">
            <v>m²</v>
          </cell>
          <cell r="F73">
            <v>0</v>
          </cell>
          <cell r="G73">
            <v>20</v>
          </cell>
          <cell r="H73">
            <v>0</v>
          </cell>
          <cell r="I73">
            <v>20</v>
          </cell>
        </row>
        <row r="74">
          <cell r="A74" t="str">
            <v>SCMT014</v>
          </cell>
          <cell r="B74" t="str">
            <v>Otros</v>
          </cell>
          <cell r="C74" t="str">
            <v>Sub-Contrato Terminación de Sub-rasante</v>
          </cell>
          <cell r="D74">
            <v>1</v>
          </cell>
          <cell r="E74" t="str">
            <v>m²</v>
          </cell>
          <cell r="F74">
            <v>20</v>
          </cell>
          <cell r="G74">
            <v>20</v>
          </cell>
          <cell r="H74">
            <v>0</v>
          </cell>
          <cell r="I74">
            <v>20</v>
          </cell>
        </row>
        <row r="75">
          <cell r="A75">
            <v>0</v>
          </cell>
          <cell r="B75">
            <v>0</v>
          </cell>
          <cell r="C75" t="str">
            <v>Total 01.02.16</v>
          </cell>
          <cell r="D75">
            <v>1</v>
          </cell>
          <cell r="E75">
            <v>0</v>
          </cell>
          <cell r="G75">
            <v>20</v>
          </cell>
          <cell r="H75">
            <v>0</v>
          </cell>
          <cell r="I75">
            <v>20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01.03</v>
          </cell>
          <cell r="B79" t="str">
            <v>Capítulo</v>
          </cell>
          <cell r="C79" t="str">
            <v>HORMIGON: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01.03.09</v>
          </cell>
          <cell r="B80" t="str">
            <v>Partida</v>
          </cell>
          <cell r="C80" t="str">
            <v>Hormigón de Nivelacion 140 kg/cm2 , e=0.05 m</v>
          </cell>
          <cell r="D80">
            <v>1</v>
          </cell>
          <cell r="E80" t="str">
            <v>m³</v>
          </cell>
          <cell r="F80">
            <v>0</v>
          </cell>
          <cell r="G80">
            <v>4853.5190000000002</v>
          </cell>
          <cell r="H80">
            <v>873.63342</v>
          </cell>
          <cell r="I80">
            <v>5727.1524200000003</v>
          </cell>
        </row>
        <row r="81">
          <cell r="A81" t="str">
            <v>P0602005</v>
          </cell>
          <cell r="B81" t="str">
            <v>Material</v>
          </cell>
          <cell r="C81" t="str">
            <v>Hormigón Industrial H140 kg/cm2, Bombeado</v>
          </cell>
          <cell r="D81">
            <v>1.1000000000000001</v>
          </cell>
          <cell r="E81" t="str">
            <v>m³</v>
          </cell>
          <cell r="F81">
            <v>4412.29</v>
          </cell>
          <cell r="G81">
            <v>4853.5190000000002</v>
          </cell>
          <cell r="H81">
            <v>873.63342</v>
          </cell>
          <cell r="I81">
            <v>5727.1524200000003</v>
          </cell>
        </row>
        <row r="82">
          <cell r="A82">
            <v>0</v>
          </cell>
          <cell r="B82">
            <v>0</v>
          </cell>
          <cell r="C82" t="str">
            <v>Total 01.03.09</v>
          </cell>
          <cell r="D82">
            <v>1</v>
          </cell>
          <cell r="E82">
            <v>0</v>
          </cell>
          <cell r="G82">
            <v>4853.5190000000002</v>
          </cell>
          <cell r="H82">
            <v>873.63342</v>
          </cell>
          <cell r="I82">
            <v>5727.1524200000003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01.04</v>
          </cell>
          <cell r="B86" t="str">
            <v>Capítulo</v>
          </cell>
          <cell r="C86" t="str">
            <v>MUROS Y DIVISIONES: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01.04.01</v>
          </cell>
          <cell r="B87" t="str">
            <v>Partida</v>
          </cell>
          <cell r="C87" t="str">
            <v>Blocks en Antepecho 3/8 a @0.80mt</v>
          </cell>
          <cell r="D87">
            <v>1</v>
          </cell>
          <cell r="E87" t="str">
            <v>m²</v>
          </cell>
          <cell r="F87">
            <v>0</v>
          </cell>
          <cell r="G87">
            <v>794.01794200000006</v>
          </cell>
          <cell r="H87">
            <v>100.22884955999999</v>
          </cell>
          <cell r="I87">
            <v>894.24679156000002</v>
          </cell>
        </row>
        <row r="88">
          <cell r="A88" t="str">
            <v>P1805011</v>
          </cell>
          <cell r="B88" t="str">
            <v>Material</v>
          </cell>
          <cell r="C88" t="str">
            <v>Bloque de hormigón de 6"</v>
          </cell>
          <cell r="D88">
            <v>13.125</v>
          </cell>
          <cell r="E88" t="str">
            <v>u</v>
          </cell>
          <cell r="F88">
            <v>23.52</v>
          </cell>
          <cell r="G88">
            <v>308.7</v>
          </cell>
          <cell r="H88">
            <v>55.565999999999995</v>
          </cell>
          <cell r="I88">
            <v>364.26599999999996</v>
          </cell>
        </row>
        <row r="89">
          <cell r="A89" t="str">
            <v>P0201008</v>
          </cell>
          <cell r="B89" t="str">
            <v>Material</v>
          </cell>
          <cell r="C89" t="str">
            <v>Arena Itabo Lavada</v>
          </cell>
          <cell r="D89">
            <v>3.49E-2</v>
          </cell>
          <cell r="E89" t="str">
            <v>m³</v>
          </cell>
          <cell r="F89">
            <v>930.76</v>
          </cell>
          <cell r="G89">
            <v>32.483524000000003</v>
          </cell>
          <cell r="H89">
            <v>5.8470343200000006</v>
          </cell>
          <cell r="I89">
            <v>38.330558320000002</v>
          </cell>
        </row>
        <row r="90">
          <cell r="A90" t="str">
            <v>P0601003</v>
          </cell>
          <cell r="B90" t="str">
            <v>Material</v>
          </cell>
          <cell r="C90" t="str">
            <v>Cemento Gris 94 lbs. Tipo Portland</v>
          </cell>
          <cell r="D90">
            <v>0.30049999999999999</v>
          </cell>
          <cell r="E90" t="str">
            <v>fd</v>
          </cell>
          <cell r="F90">
            <v>295</v>
          </cell>
          <cell r="G90">
            <v>88.647499999999994</v>
          </cell>
          <cell r="H90">
            <v>15.956549999999998</v>
          </cell>
          <cell r="I90">
            <v>104.60404999999999</v>
          </cell>
        </row>
        <row r="91">
          <cell r="A91" t="str">
            <v>P2403199</v>
          </cell>
          <cell r="B91" t="str">
            <v>Material</v>
          </cell>
          <cell r="C91" t="str">
            <v>Agua</v>
          </cell>
          <cell r="D91">
            <v>1.8720000000000001</v>
          </cell>
          <cell r="E91" t="str">
            <v>gl</v>
          </cell>
          <cell r="F91">
            <v>1.58</v>
          </cell>
          <cell r="G91">
            <v>2.9577600000000004</v>
          </cell>
          <cell r="H91">
            <v>0.5323968</v>
          </cell>
          <cell r="I91">
            <v>3.4901568000000003</v>
          </cell>
        </row>
        <row r="92">
          <cell r="A92" t="str">
            <v>P0109018</v>
          </cell>
          <cell r="B92" t="str">
            <v>Auxiliar</v>
          </cell>
          <cell r="C92" t="str">
            <v>Hormigón In Situ fc=120Kg/Cm²  Agreg 3/8@1/2</v>
          </cell>
          <cell r="D92">
            <v>2.3E-2</v>
          </cell>
          <cell r="E92" t="str">
            <v>m³</v>
          </cell>
          <cell r="F92">
            <v>4435.2180000000008</v>
          </cell>
          <cell r="G92">
            <v>102.01001400000001</v>
          </cell>
          <cell r="H92">
            <v>12.772802519999997</v>
          </cell>
          <cell r="I92">
            <v>114.78281652000001</v>
          </cell>
        </row>
        <row r="93">
          <cell r="A93" t="str">
            <v>P0401066</v>
          </cell>
          <cell r="B93" t="str">
            <v>Material</v>
          </cell>
          <cell r="C93" t="str">
            <v>Acero G-60, Long. Variable</v>
          </cell>
          <cell r="D93">
            <v>2.24E-2</v>
          </cell>
          <cell r="E93" t="str">
            <v>qq</v>
          </cell>
          <cell r="F93">
            <v>2285</v>
          </cell>
          <cell r="G93">
            <v>51.183999999999997</v>
          </cell>
          <cell r="H93">
            <v>9.21312</v>
          </cell>
          <cell r="I93">
            <v>60.397120000000001</v>
          </cell>
        </row>
        <row r="94">
          <cell r="A94" t="str">
            <v>P0418006</v>
          </cell>
          <cell r="B94" t="str">
            <v>Material</v>
          </cell>
          <cell r="C94" t="str">
            <v>Alambre galvanizado liso #18</v>
          </cell>
          <cell r="D94">
            <v>4.48E-2</v>
          </cell>
          <cell r="E94" t="str">
            <v>lb</v>
          </cell>
          <cell r="F94">
            <v>42.28</v>
          </cell>
          <cell r="G94">
            <v>1.894144</v>
          </cell>
          <cell r="H94">
            <v>0.34094592000000001</v>
          </cell>
          <cell r="I94">
            <v>2.2350899200000001</v>
          </cell>
        </row>
        <row r="95">
          <cell r="A95" t="str">
            <v>H0320201</v>
          </cell>
          <cell r="B95" t="str">
            <v>Mano de obra</v>
          </cell>
          <cell r="C95" t="str">
            <v>M.O. Alb. Colocación Bloques de 6" (Inc. Llenado y Acero)</v>
          </cell>
          <cell r="D95">
            <v>13</v>
          </cell>
          <cell r="E95" t="str">
            <v>u</v>
          </cell>
          <cell r="F95">
            <v>15.7</v>
          </cell>
          <cell r="G95">
            <v>204.1</v>
          </cell>
          <cell r="H95">
            <v>0</v>
          </cell>
          <cell r="I95">
            <v>204.1</v>
          </cell>
        </row>
        <row r="96">
          <cell r="A96" t="str">
            <v>H%FH</v>
          </cell>
          <cell r="B96" t="str">
            <v>Otros</v>
          </cell>
          <cell r="C96" t="str">
            <v>Factor Herramientas</v>
          </cell>
          <cell r="D96">
            <v>1</v>
          </cell>
          <cell r="E96" t="str">
            <v>%</v>
          </cell>
          <cell r="F96">
            <v>204.1</v>
          </cell>
          <cell r="G96">
            <v>2.0409999999999999</v>
          </cell>
          <cell r="H96">
            <v>0</v>
          </cell>
          <cell r="I96">
            <v>2.0409999999999999</v>
          </cell>
        </row>
        <row r="97">
          <cell r="A97">
            <v>0</v>
          </cell>
          <cell r="B97">
            <v>0</v>
          </cell>
          <cell r="C97" t="str">
            <v>Total 01.04.01</v>
          </cell>
          <cell r="D97">
            <v>1</v>
          </cell>
          <cell r="E97">
            <v>0</v>
          </cell>
          <cell r="F97">
            <v>0</v>
          </cell>
          <cell r="G97">
            <v>794.01794200000006</v>
          </cell>
          <cell r="H97">
            <v>100.22884955999999</v>
          </cell>
          <cell r="I97">
            <v>894.24679156000002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01.04.02</v>
          </cell>
          <cell r="B99" t="str">
            <v>Partida</v>
          </cell>
          <cell r="C99" t="str">
            <v>Bloques de 4" SNP 3/8@ 0.80mt</v>
          </cell>
          <cell r="D99">
            <v>1</v>
          </cell>
          <cell r="E99" t="str">
            <v>m²</v>
          </cell>
          <cell r="F99">
            <v>0</v>
          </cell>
          <cell r="G99">
            <v>660.27864719999991</v>
          </cell>
          <cell r="H99">
            <v>82.972376495999995</v>
          </cell>
          <cell r="I99">
            <v>743.25102369599995</v>
          </cell>
        </row>
        <row r="100">
          <cell r="A100" t="str">
            <v>P1805010</v>
          </cell>
          <cell r="B100" t="str">
            <v>Material</v>
          </cell>
          <cell r="C100" t="str">
            <v>Bloque de hormigón de 4"</v>
          </cell>
          <cell r="D100">
            <v>14.375</v>
          </cell>
          <cell r="E100" t="str">
            <v>u</v>
          </cell>
          <cell r="F100">
            <v>22.88</v>
          </cell>
          <cell r="G100">
            <v>328.9</v>
          </cell>
          <cell r="H100">
            <v>59.201999999999991</v>
          </cell>
          <cell r="I100">
            <v>388.10199999999998</v>
          </cell>
        </row>
        <row r="101">
          <cell r="A101" t="str">
            <v>P0201008</v>
          </cell>
          <cell r="B101" t="str">
            <v>Material</v>
          </cell>
          <cell r="C101" t="str">
            <v>Arena Itabo Lavada</v>
          </cell>
          <cell r="D101">
            <v>1.34E-2</v>
          </cell>
          <cell r="E101" t="str">
            <v>m³</v>
          </cell>
          <cell r="F101">
            <v>930.76</v>
          </cell>
          <cell r="G101">
            <v>12.472184</v>
          </cell>
          <cell r="H101">
            <v>2.2449931200000002</v>
          </cell>
          <cell r="I101">
            <v>14.717177120000001</v>
          </cell>
        </row>
        <row r="102">
          <cell r="A102" t="str">
            <v>P0601003</v>
          </cell>
          <cell r="B102" t="str">
            <v>Material</v>
          </cell>
          <cell r="C102" t="str">
            <v>Cemento Gris 94 lbs. Tipo Portland</v>
          </cell>
          <cell r="D102">
            <v>0.11559999999999999</v>
          </cell>
          <cell r="E102" t="str">
            <v>fd</v>
          </cell>
          <cell r="F102">
            <v>295</v>
          </cell>
          <cell r="G102">
            <v>34.101999999999997</v>
          </cell>
          <cell r="H102">
            <v>6.1383599999999996</v>
          </cell>
          <cell r="I102">
            <v>40.240359999999995</v>
          </cell>
        </row>
        <row r="103">
          <cell r="A103" t="str">
            <v>P2403199</v>
          </cell>
          <cell r="B103" t="str">
            <v>Material</v>
          </cell>
          <cell r="C103" t="str">
            <v>Agua</v>
          </cell>
          <cell r="D103">
            <v>0.72</v>
          </cell>
          <cell r="E103" t="str">
            <v>gl</v>
          </cell>
          <cell r="F103">
            <v>1.58</v>
          </cell>
          <cell r="G103">
            <v>1.1375999999999999</v>
          </cell>
          <cell r="H103">
            <v>0.20476799999999998</v>
          </cell>
          <cell r="I103">
            <v>1.342368</v>
          </cell>
        </row>
        <row r="104">
          <cell r="A104" t="str">
            <v>P0109018</v>
          </cell>
          <cell r="B104" t="str">
            <v>Auxiliar</v>
          </cell>
          <cell r="C104" t="str">
            <v>Hormigón In Situ fc=120Kg/Cm²  Agreg 3/8@1/2</v>
          </cell>
          <cell r="D104">
            <v>1.44E-2</v>
          </cell>
          <cell r="E104" t="str">
            <v>m³</v>
          </cell>
          <cell r="F104">
            <v>4435.2180000000008</v>
          </cell>
          <cell r="G104">
            <v>63.867139200000011</v>
          </cell>
          <cell r="H104">
            <v>7.9968850559999982</v>
          </cell>
          <cell r="I104">
            <v>71.864024256000008</v>
          </cell>
        </row>
        <row r="105">
          <cell r="A105" t="str">
            <v>P0401066</v>
          </cell>
          <cell r="B105" t="str">
            <v>Material</v>
          </cell>
          <cell r="C105" t="str">
            <v>Acero G-60, Long. Variable</v>
          </cell>
          <cell r="D105">
            <v>1.6899999999999998E-2</v>
          </cell>
          <cell r="E105" t="str">
            <v>qq</v>
          </cell>
          <cell r="F105">
            <v>2285</v>
          </cell>
          <cell r="G105">
            <v>38.616499999999995</v>
          </cell>
          <cell r="H105">
            <v>6.950969999999999</v>
          </cell>
          <cell r="I105">
            <v>45.567469999999993</v>
          </cell>
        </row>
        <row r="106">
          <cell r="A106" t="str">
            <v>P0418006</v>
          </cell>
          <cell r="B106" t="str">
            <v>Material</v>
          </cell>
          <cell r="C106" t="str">
            <v>Alambre galvanizado liso #18</v>
          </cell>
          <cell r="D106">
            <v>3.0800000000000001E-2</v>
          </cell>
          <cell r="E106" t="str">
            <v>lb</v>
          </cell>
          <cell r="F106">
            <v>42.28</v>
          </cell>
          <cell r="G106">
            <v>1.302224</v>
          </cell>
          <cell r="H106">
            <v>0.23440032</v>
          </cell>
          <cell r="I106">
            <v>1.53662432</v>
          </cell>
        </row>
        <row r="107">
          <cell r="A107" t="str">
            <v>H0320202</v>
          </cell>
          <cell r="B107" t="str">
            <v>Mano de obra</v>
          </cell>
          <cell r="C107" t="str">
            <v>M.O. Alb colocación bloques de 4" (Inc. Llenado y Acero)</v>
          </cell>
          <cell r="D107">
            <v>13</v>
          </cell>
          <cell r="E107" t="str">
            <v>u</v>
          </cell>
          <cell r="F107">
            <v>13.7</v>
          </cell>
          <cell r="G107">
            <v>178.1</v>
          </cell>
          <cell r="H107">
            <v>0</v>
          </cell>
          <cell r="I107">
            <v>178.1</v>
          </cell>
        </row>
        <row r="108">
          <cell r="A108" t="str">
            <v>H%FH</v>
          </cell>
          <cell r="B108" t="str">
            <v>Otros</v>
          </cell>
          <cell r="C108" t="str">
            <v>Factor Herramientas</v>
          </cell>
          <cell r="D108">
            <v>1</v>
          </cell>
          <cell r="E108" t="str">
            <v>%</v>
          </cell>
          <cell r="F108">
            <v>178.1</v>
          </cell>
          <cell r="G108">
            <v>1.7809999999999999</v>
          </cell>
          <cell r="H108">
            <v>0</v>
          </cell>
          <cell r="I108">
            <v>1.7809999999999999</v>
          </cell>
        </row>
        <row r="109">
          <cell r="A109">
            <v>0</v>
          </cell>
          <cell r="B109">
            <v>0</v>
          </cell>
          <cell r="C109" t="str">
            <v>Total 01.04.02</v>
          </cell>
          <cell r="D109">
            <v>1</v>
          </cell>
          <cell r="E109">
            <v>0</v>
          </cell>
          <cell r="F109">
            <v>0</v>
          </cell>
          <cell r="G109">
            <v>660.27864719999991</v>
          </cell>
          <cell r="H109">
            <v>82.972376495999995</v>
          </cell>
          <cell r="I109">
            <v>743.25102369599995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01.04.03</v>
          </cell>
          <cell r="B111" t="str">
            <v>Partida</v>
          </cell>
          <cell r="C111" t="str">
            <v>Bloques de 6" BNP Ø 3/8 @ 0.60</v>
          </cell>
          <cell r="D111">
            <v>1</v>
          </cell>
          <cell r="E111" t="str">
            <v>m²</v>
          </cell>
          <cell r="F111">
            <v>0</v>
          </cell>
          <cell r="G111">
            <v>845.94082060000005</v>
          </cell>
          <cell r="H111">
            <v>107.70386770799999</v>
          </cell>
          <cell r="I111">
            <v>953.64468830800013</v>
          </cell>
        </row>
        <row r="112">
          <cell r="A112" t="str">
            <v>P1805011</v>
          </cell>
          <cell r="B112" t="str">
            <v>Material</v>
          </cell>
          <cell r="C112" t="str">
            <v>Bloque de hormigón de 6"</v>
          </cell>
          <cell r="D112">
            <v>13.125</v>
          </cell>
          <cell r="E112" t="str">
            <v>u</v>
          </cell>
          <cell r="F112">
            <v>23.52</v>
          </cell>
          <cell r="G112">
            <v>308.7</v>
          </cell>
          <cell r="H112">
            <v>55.565999999999995</v>
          </cell>
          <cell r="I112">
            <v>364.26599999999996</v>
          </cell>
        </row>
        <row r="113">
          <cell r="A113" t="str">
            <v>P0201008</v>
          </cell>
          <cell r="B113" t="str">
            <v>Material</v>
          </cell>
          <cell r="C113" t="str">
            <v>Arena Itabo Lavada</v>
          </cell>
          <cell r="D113">
            <v>3.49E-2</v>
          </cell>
          <cell r="E113" t="str">
            <v>m³</v>
          </cell>
          <cell r="F113">
            <v>930.76</v>
          </cell>
          <cell r="G113">
            <v>32.483524000000003</v>
          </cell>
          <cell r="H113">
            <v>5.8470343200000006</v>
          </cell>
          <cell r="I113">
            <v>38.330558320000002</v>
          </cell>
        </row>
        <row r="114">
          <cell r="A114" t="str">
            <v>P0601003</v>
          </cell>
          <cell r="B114" t="str">
            <v>Material</v>
          </cell>
          <cell r="C114" t="str">
            <v>Cemento Gris 94 lbs. Tipo Portland</v>
          </cell>
          <cell r="D114">
            <v>0.30049999999999999</v>
          </cell>
          <cell r="E114" t="str">
            <v>fd</v>
          </cell>
          <cell r="F114">
            <v>295</v>
          </cell>
          <cell r="G114">
            <v>88.647499999999994</v>
          </cell>
          <cell r="H114">
            <v>15.956549999999998</v>
          </cell>
          <cell r="I114">
            <v>104.60404999999999</v>
          </cell>
        </row>
        <row r="115">
          <cell r="A115" t="str">
            <v>P2403199</v>
          </cell>
          <cell r="B115" t="str">
            <v>Material</v>
          </cell>
          <cell r="C115" t="str">
            <v>Agua</v>
          </cell>
          <cell r="D115">
            <v>1.8720000000000001</v>
          </cell>
          <cell r="E115" t="str">
            <v>gl</v>
          </cell>
          <cell r="F115">
            <v>1.58</v>
          </cell>
          <cell r="G115">
            <v>2.9577600000000004</v>
          </cell>
          <cell r="H115">
            <v>0.5323968</v>
          </cell>
          <cell r="I115">
            <v>3.4901568000000003</v>
          </cell>
        </row>
        <row r="116">
          <cell r="A116" t="str">
            <v>P0109018</v>
          </cell>
          <cell r="B116" t="str">
            <v>Auxiliar</v>
          </cell>
          <cell r="C116" t="str">
            <v>Hormigón In Situ fc=120Kg/Cm²  Agreg 3/8@1/2</v>
          </cell>
          <cell r="D116">
            <v>3.0700000000000002E-2</v>
          </cell>
          <cell r="E116" t="str">
            <v>m³</v>
          </cell>
          <cell r="F116">
            <v>4435.2180000000008</v>
          </cell>
          <cell r="G116">
            <v>136.16119260000002</v>
          </cell>
          <cell r="H116">
            <v>17.048914667999998</v>
          </cell>
          <cell r="I116">
            <v>153.21010726800003</v>
          </cell>
        </row>
        <row r="117">
          <cell r="A117" t="str">
            <v>P0401066</v>
          </cell>
          <cell r="B117" t="str">
            <v>Material</v>
          </cell>
          <cell r="C117" t="str">
            <v>Acero G-60, Long. Variable</v>
          </cell>
          <cell r="D117">
            <v>2.9899999999999999E-2</v>
          </cell>
          <cell r="E117" t="str">
            <v>qq</v>
          </cell>
          <cell r="F117">
            <v>2285</v>
          </cell>
          <cell r="G117">
            <v>68.3215</v>
          </cell>
          <cell r="H117">
            <v>12.29787</v>
          </cell>
          <cell r="I117">
            <v>80.619370000000004</v>
          </cell>
        </row>
        <row r="118">
          <cell r="A118" t="str">
            <v>P0418006</v>
          </cell>
          <cell r="B118" t="str">
            <v>Material</v>
          </cell>
          <cell r="C118" t="str">
            <v>Alambre galvanizado liso #18</v>
          </cell>
          <cell r="D118">
            <v>5.9799999999999999E-2</v>
          </cell>
          <cell r="E118" t="str">
            <v>lb</v>
          </cell>
          <cell r="F118">
            <v>42.28</v>
          </cell>
          <cell r="G118">
            <v>2.5283440000000001</v>
          </cell>
          <cell r="H118">
            <v>0.45510191999999999</v>
          </cell>
          <cell r="I118">
            <v>2.9834459200000003</v>
          </cell>
        </row>
        <row r="119">
          <cell r="A119" t="str">
            <v>H0320201</v>
          </cell>
          <cell r="B119" t="str">
            <v>Mano de obra</v>
          </cell>
          <cell r="C119" t="str">
            <v>M.O. Alb. Colocación Bloques de 6" (Inc. Llenado y Acero)</v>
          </cell>
          <cell r="D119">
            <v>13</v>
          </cell>
          <cell r="E119" t="str">
            <v>u</v>
          </cell>
          <cell r="F119">
            <v>15.7</v>
          </cell>
          <cell r="G119">
            <v>204.1</v>
          </cell>
          <cell r="H119">
            <v>0</v>
          </cell>
          <cell r="I119">
            <v>204.1</v>
          </cell>
        </row>
        <row r="120">
          <cell r="A120" t="str">
            <v>H%FH</v>
          </cell>
          <cell r="B120" t="str">
            <v>Otros</v>
          </cell>
          <cell r="C120" t="str">
            <v>Factor Herramientas</v>
          </cell>
          <cell r="D120">
            <v>1</v>
          </cell>
          <cell r="E120" t="str">
            <v>%</v>
          </cell>
          <cell r="F120">
            <v>204.1</v>
          </cell>
          <cell r="G120">
            <v>2.0409999999999999</v>
          </cell>
          <cell r="H120">
            <v>0</v>
          </cell>
          <cell r="I120">
            <v>2.0409999999999999</v>
          </cell>
        </row>
        <row r="121">
          <cell r="A121">
            <v>0</v>
          </cell>
          <cell r="B121">
            <v>0</v>
          </cell>
          <cell r="C121" t="str">
            <v>Total 01.04.03</v>
          </cell>
          <cell r="D121">
            <v>1</v>
          </cell>
          <cell r="E121">
            <v>0</v>
          </cell>
          <cell r="F121">
            <v>0</v>
          </cell>
          <cell r="G121">
            <v>845.94082060000005</v>
          </cell>
          <cell r="H121">
            <v>107.70386770799999</v>
          </cell>
          <cell r="I121">
            <v>953.64468830800013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01.04.04</v>
          </cell>
          <cell r="B123" t="str">
            <v>Partida</v>
          </cell>
          <cell r="C123" t="str">
            <v>Bloques de 6" BNP Ø 3/8 @ 0.60 con serpentina cada 3 líneas</v>
          </cell>
          <cell r="D123">
            <v>1</v>
          </cell>
          <cell r="E123" t="str">
            <v>m²</v>
          </cell>
          <cell r="F123">
            <v>0</v>
          </cell>
          <cell r="G123">
            <v>916.79066460000013</v>
          </cell>
          <cell r="H123">
            <v>120.45683962799997</v>
          </cell>
          <cell r="I123">
            <v>1037.247504228</v>
          </cell>
        </row>
        <row r="124">
          <cell r="A124" t="str">
            <v>P1805011</v>
          </cell>
          <cell r="B124" t="str">
            <v>Material</v>
          </cell>
          <cell r="C124" t="str">
            <v>Bloque de hormigón de 6"</v>
          </cell>
          <cell r="D124">
            <v>13.125</v>
          </cell>
          <cell r="E124" t="str">
            <v>u</v>
          </cell>
          <cell r="F124">
            <v>23.52</v>
          </cell>
          <cell r="G124">
            <v>308.7</v>
          </cell>
          <cell r="H124">
            <v>55.565999999999995</v>
          </cell>
          <cell r="I124">
            <v>364.26599999999996</v>
          </cell>
        </row>
        <row r="125">
          <cell r="A125" t="str">
            <v>P0201008</v>
          </cell>
          <cell r="B125" t="str">
            <v>Material</v>
          </cell>
          <cell r="C125" t="str">
            <v>Arena Itabo Lavada</v>
          </cell>
          <cell r="D125">
            <v>3.49E-2</v>
          </cell>
          <cell r="E125" t="str">
            <v>m³</v>
          </cell>
          <cell r="F125">
            <v>930.76</v>
          </cell>
          <cell r="G125">
            <v>32.483524000000003</v>
          </cell>
          <cell r="H125">
            <v>5.8470343200000006</v>
          </cell>
          <cell r="I125">
            <v>38.330558320000002</v>
          </cell>
        </row>
        <row r="126">
          <cell r="A126" t="str">
            <v>P0601003</v>
          </cell>
          <cell r="B126" t="str">
            <v>Material</v>
          </cell>
          <cell r="C126" t="str">
            <v>Cemento Gris 94 lbs. Tipo Portland</v>
          </cell>
          <cell r="D126">
            <v>0.30049999999999999</v>
          </cell>
          <cell r="E126" t="str">
            <v>fd</v>
          </cell>
          <cell r="F126">
            <v>295</v>
          </cell>
          <cell r="G126">
            <v>88.647499999999994</v>
          </cell>
          <cell r="H126">
            <v>15.956549999999998</v>
          </cell>
          <cell r="I126">
            <v>104.60404999999999</v>
          </cell>
        </row>
        <row r="127">
          <cell r="A127" t="str">
            <v>P2403199</v>
          </cell>
          <cell r="B127" t="str">
            <v>Material</v>
          </cell>
          <cell r="C127" t="str">
            <v>Agua</v>
          </cell>
          <cell r="D127">
            <v>1.8720000000000001</v>
          </cell>
          <cell r="E127" t="str">
            <v>gl</v>
          </cell>
          <cell r="F127">
            <v>1.58</v>
          </cell>
          <cell r="G127">
            <v>2.9577600000000004</v>
          </cell>
          <cell r="H127">
            <v>0.5323968</v>
          </cell>
          <cell r="I127">
            <v>3.4901568000000003</v>
          </cell>
        </row>
        <row r="128">
          <cell r="A128" t="str">
            <v>P0109018</v>
          </cell>
          <cell r="B128" t="str">
            <v>Auxiliar</v>
          </cell>
          <cell r="C128" t="str">
            <v>Hormigón In Situ fc=120Kg/Cm²  Agreg 3/8@1/2</v>
          </cell>
          <cell r="D128">
            <v>3.0700000000000002E-2</v>
          </cell>
          <cell r="E128" t="str">
            <v>m³</v>
          </cell>
          <cell r="F128">
            <v>4435.2180000000008</v>
          </cell>
          <cell r="G128">
            <v>136.16119260000002</v>
          </cell>
          <cell r="H128">
            <v>17.048914667999998</v>
          </cell>
          <cell r="I128">
            <v>153.21010726800003</v>
          </cell>
        </row>
        <row r="129">
          <cell r="A129" t="str">
            <v>P0401066</v>
          </cell>
          <cell r="B129" t="str">
            <v>Material</v>
          </cell>
          <cell r="C129" t="str">
            <v>Acero G-60, Long. Variable</v>
          </cell>
          <cell r="D129">
            <v>5.9799999999999999E-2</v>
          </cell>
          <cell r="E129" t="str">
            <v>qq</v>
          </cell>
          <cell r="F129">
            <v>2285</v>
          </cell>
          <cell r="G129">
            <v>136.643</v>
          </cell>
          <cell r="H129">
            <v>24.595739999999999</v>
          </cell>
          <cell r="I129">
            <v>161.23874000000001</v>
          </cell>
        </row>
        <row r="130">
          <cell r="A130" t="str">
            <v>P0418006</v>
          </cell>
          <cell r="B130" t="str">
            <v>Material</v>
          </cell>
          <cell r="C130" t="str">
            <v>Alambre galvanizado liso #18</v>
          </cell>
          <cell r="D130">
            <v>0.1196</v>
          </cell>
          <cell r="E130" t="str">
            <v>lb</v>
          </cell>
          <cell r="F130">
            <v>42.28</v>
          </cell>
          <cell r="G130">
            <v>5.0566880000000003</v>
          </cell>
          <cell r="H130">
            <v>0.91020383999999999</v>
          </cell>
          <cell r="I130">
            <v>5.9668918400000006</v>
          </cell>
        </row>
        <row r="131">
          <cell r="A131" t="str">
            <v>H0320201</v>
          </cell>
          <cell r="B131" t="str">
            <v>Mano de obra</v>
          </cell>
          <cell r="C131" t="str">
            <v>M.O. Alb. Colocación Bloques de 6" (Inc. Llenado y Acero)</v>
          </cell>
          <cell r="D131">
            <v>13</v>
          </cell>
          <cell r="E131" t="str">
            <v>u</v>
          </cell>
          <cell r="F131">
            <v>15.7</v>
          </cell>
          <cell r="G131">
            <v>204.1</v>
          </cell>
          <cell r="H131">
            <v>0</v>
          </cell>
          <cell r="I131">
            <v>204.1</v>
          </cell>
        </row>
        <row r="132">
          <cell r="A132" t="str">
            <v>H%FH</v>
          </cell>
          <cell r="B132" t="str">
            <v>Otros</v>
          </cell>
          <cell r="C132" t="str">
            <v>Factor Herramientas</v>
          </cell>
          <cell r="D132">
            <v>1</v>
          </cell>
          <cell r="E132" t="str">
            <v>%</v>
          </cell>
          <cell r="F132">
            <v>204.1</v>
          </cell>
          <cell r="G132">
            <v>2.0409999999999999</v>
          </cell>
          <cell r="H132">
            <v>0</v>
          </cell>
          <cell r="I132">
            <v>2.0409999999999999</v>
          </cell>
        </row>
        <row r="133">
          <cell r="A133">
            <v>0</v>
          </cell>
          <cell r="B133">
            <v>0</v>
          </cell>
          <cell r="C133" t="str">
            <v>Total 01.04.04</v>
          </cell>
          <cell r="D133">
            <v>1</v>
          </cell>
          <cell r="E133">
            <v>0</v>
          </cell>
          <cell r="F133">
            <v>0</v>
          </cell>
          <cell r="G133">
            <v>916.79066460000013</v>
          </cell>
          <cell r="H133">
            <v>120.45683962799997</v>
          </cell>
          <cell r="I133">
            <v>1037.247504228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01.04.05</v>
          </cell>
          <cell r="B135" t="str">
            <v>Partida</v>
          </cell>
          <cell r="C135" t="str">
            <v>Bloques de 6" BNP Ø 3/8@ 0.60, todas las cámaras llenas</v>
          </cell>
          <cell r="D135">
            <v>1</v>
          </cell>
          <cell r="E135" t="str">
            <v>m²</v>
          </cell>
          <cell r="F135">
            <v>0</v>
          </cell>
          <cell r="G135">
            <v>1117.8196839999998</v>
          </cell>
          <cell r="H135">
            <v>141.74616311999998</v>
          </cell>
          <cell r="I135">
            <v>1259.5658471199999</v>
          </cell>
        </row>
        <row r="136">
          <cell r="A136" t="str">
            <v>P1805011</v>
          </cell>
          <cell r="B136" t="str">
            <v>Material</v>
          </cell>
          <cell r="C136" t="str">
            <v>Bloque de hormigón de 6"</v>
          </cell>
          <cell r="D136">
            <v>13.125</v>
          </cell>
          <cell r="E136" t="str">
            <v>u</v>
          </cell>
          <cell r="F136">
            <v>23.52</v>
          </cell>
          <cell r="G136">
            <v>308.7</v>
          </cell>
          <cell r="H136">
            <v>55.565999999999995</v>
          </cell>
          <cell r="I136">
            <v>364.26599999999996</v>
          </cell>
        </row>
        <row r="137">
          <cell r="A137" t="str">
            <v>P0201008</v>
          </cell>
          <cell r="B137" t="str">
            <v>Material</v>
          </cell>
          <cell r="C137" t="str">
            <v>Arena Itabo Lavada</v>
          </cell>
          <cell r="D137">
            <v>3.49E-2</v>
          </cell>
          <cell r="E137" t="str">
            <v>m³</v>
          </cell>
          <cell r="F137">
            <v>930.76</v>
          </cell>
          <cell r="G137">
            <v>32.483524000000003</v>
          </cell>
          <cell r="H137">
            <v>5.8470343200000006</v>
          </cell>
          <cell r="I137">
            <v>38.330558320000002</v>
          </cell>
        </row>
        <row r="138">
          <cell r="A138" t="str">
            <v>P0601003</v>
          </cell>
          <cell r="B138" t="str">
            <v>Material</v>
          </cell>
          <cell r="C138" t="str">
            <v>Cemento Gris 94 lbs. Tipo Portland</v>
          </cell>
          <cell r="D138">
            <v>0.30049999999999999</v>
          </cell>
          <cell r="E138" t="str">
            <v>fd</v>
          </cell>
          <cell r="F138">
            <v>295</v>
          </cell>
          <cell r="G138">
            <v>88.647499999999994</v>
          </cell>
          <cell r="H138">
            <v>15.956549999999998</v>
          </cell>
          <cell r="I138">
            <v>104.60404999999999</v>
          </cell>
        </row>
        <row r="139">
          <cell r="A139" t="str">
            <v>P2403199</v>
          </cell>
          <cell r="B139" t="str">
            <v>Material</v>
          </cell>
          <cell r="C139" t="str">
            <v>Agua</v>
          </cell>
          <cell r="D139">
            <v>1.8720000000000001</v>
          </cell>
          <cell r="E139" t="str">
            <v>gl</v>
          </cell>
          <cell r="F139">
            <v>1.58</v>
          </cell>
          <cell r="G139">
            <v>2.9577600000000004</v>
          </cell>
          <cell r="H139">
            <v>0.5323968</v>
          </cell>
          <cell r="I139">
            <v>3.4901568000000003</v>
          </cell>
        </row>
        <row r="140">
          <cell r="A140" t="str">
            <v>P0109018</v>
          </cell>
          <cell r="B140" t="str">
            <v>Auxiliar</v>
          </cell>
          <cell r="C140" t="str">
            <v>Hormigón In Situ fc=120Kg/Cm²  Agreg 3/8@1/2</v>
          </cell>
          <cell r="D140">
            <v>9.1999999999999998E-2</v>
          </cell>
          <cell r="E140" t="str">
            <v>m³</v>
          </cell>
          <cell r="F140">
            <v>4435.2180000000008</v>
          </cell>
          <cell r="G140">
            <v>408.04005600000005</v>
          </cell>
          <cell r="H140">
            <v>51.091210079999989</v>
          </cell>
          <cell r="I140">
            <v>459.13126608000005</v>
          </cell>
        </row>
        <row r="141">
          <cell r="A141" t="str">
            <v>P0401066</v>
          </cell>
          <cell r="B141" t="str">
            <v>Material</v>
          </cell>
          <cell r="C141" t="str">
            <v>Acero G-60, Long. Variable</v>
          </cell>
          <cell r="D141">
            <v>2.9899999999999999E-2</v>
          </cell>
          <cell r="E141" t="str">
            <v>qq</v>
          </cell>
          <cell r="F141">
            <v>2285</v>
          </cell>
          <cell r="G141">
            <v>68.3215</v>
          </cell>
          <cell r="H141">
            <v>12.29787</v>
          </cell>
          <cell r="I141">
            <v>80.619370000000004</v>
          </cell>
        </row>
        <row r="142">
          <cell r="A142" t="str">
            <v>P0418006</v>
          </cell>
          <cell r="B142" t="str">
            <v>Material</v>
          </cell>
          <cell r="C142" t="str">
            <v>Alambre galvanizado liso #18</v>
          </cell>
          <cell r="D142">
            <v>5.9799999999999999E-2</v>
          </cell>
          <cell r="E142" t="str">
            <v>lb</v>
          </cell>
          <cell r="F142">
            <v>42.28</v>
          </cell>
          <cell r="G142">
            <v>2.5283440000000001</v>
          </cell>
          <cell r="H142">
            <v>0.45510191999999999</v>
          </cell>
          <cell r="I142">
            <v>2.9834459200000003</v>
          </cell>
        </row>
        <row r="143">
          <cell r="A143" t="str">
            <v>H0320201</v>
          </cell>
          <cell r="B143" t="str">
            <v>Mano de obra</v>
          </cell>
          <cell r="C143" t="str">
            <v>M.O. Alb. Colocación Bloques de 6" (Inc. Llenado y Acero)</v>
          </cell>
          <cell r="D143">
            <v>13</v>
          </cell>
          <cell r="E143" t="str">
            <v>u</v>
          </cell>
          <cell r="F143">
            <v>15.7</v>
          </cell>
          <cell r="G143">
            <v>204.1</v>
          </cell>
          <cell r="H143">
            <v>0</v>
          </cell>
          <cell r="I143">
            <v>204.1</v>
          </cell>
        </row>
        <row r="144">
          <cell r="A144" t="str">
            <v>H%FH</v>
          </cell>
          <cell r="B144" t="str">
            <v>Otros</v>
          </cell>
          <cell r="C144" t="str">
            <v>Factor Herramientas</v>
          </cell>
          <cell r="D144">
            <v>1</v>
          </cell>
          <cell r="E144" t="str">
            <v>%</v>
          </cell>
          <cell r="F144">
            <v>204.1</v>
          </cell>
          <cell r="G144">
            <v>2.0409999999999999</v>
          </cell>
          <cell r="H144">
            <v>0</v>
          </cell>
          <cell r="I144">
            <v>2.0409999999999999</v>
          </cell>
        </row>
        <row r="145">
          <cell r="A145">
            <v>0</v>
          </cell>
          <cell r="B145">
            <v>0</v>
          </cell>
          <cell r="C145" t="str">
            <v>Total 01.04.05</v>
          </cell>
          <cell r="D145">
            <v>1</v>
          </cell>
          <cell r="E145">
            <v>0</v>
          </cell>
          <cell r="F145">
            <v>0</v>
          </cell>
          <cell r="G145">
            <v>1117.8196839999998</v>
          </cell>
          <cell r="H145">
            <v>141.74616311999998</v>
          </cell>
          <cell r="I145">
            <v>1259.5658471199999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01.04.06</v>
          </cell>
          <cell r="B147" t="str">
            <v>Partida</v>
          </cell>
          <cell r="C147" t="str">
            <v>Bloques de 6" Ø3/8 @ 0.40 BNP y cámaras llenas</v>
          </cell>
          <cell r="D147">
            <v>1</v>
          </cell>
          <cell r="E147" t="str">
            <v>m²</v>
          </cell>
          <cell r="F147">
            <v>0</v>
          </cell>
          <cell r="G147">
            <v>1192.9063039499999</v>
          </cell>
          <cell r="H147">
            <v>148.14397511999996</v>
          </cell>
          <cell r="I147">
            <v>1341.05027907</v>
          </cell>
        </row>
        <row r="148">
          <cell r="A148" t="str">
            <v>P1805011</v>
          </cell>
          <cell r="B148" t="str">
            <v>Material</v>
          </cell>
          <cell r="C148" t="str">
            <v>Bloque de hormigón de 6"</v>
          </cell>
          <cell r="D148">
            <v>13.125</v>
          </cell>
          <cell r="E148" t="str">
            <v>u</v>
          </cell>
          <cell r="F148">
            <v>23.52</v>
          </cell>
          <cell r="G148">
            <v>308.7</v>
          </cell>
          <cell r="H148">
            <v>55.565999999999995</v>
          </cell>
          <cell r="I148">
            <v>364.26599999999996</v>
          </cell>
        </row>
        <row r="149">
          <cell r="A149" t="str">
            <v>P0201008</v>
          </cell>
          <cell r="B149" t="str">
            <v>Material</v>
          </cell>
          <cell r="C149" t="str">
            <v>Arena Itabo Lavada</v>
          </cell>
          <cell r="D149">
            <v>3.49E-2</v>
          </cell>
          <cell r="E149" t="str">
            <v>m³</v>
          </cell>
          <cell r="F149">
            <v>930.76</v>
          </cell>
          <cell r="G149">
            <v>32.483524000000003</v>
          </cell>
          <cell r="H149">
            <v>5.8470343200000006</v>
          </cell>
          <cell r="I149">
            <v>38.330558320000002</v>
          </cell>
        </row>
        <row r="150">
          <cell r="A150" t="str">
            <v>P0601003</v>
          </cell>
          <cell r="B150" t="str">
            <v>Material</v>
          </cell>
          <cell r="C150" t="str">
            <v>Cemento Gris 94 lbs. Tipo Portland</v>
          </cell>
          <cell r="D150">
            <v>0.30049999999999999</v>
          </cell>
          <cell r="E150" t="str">
            <v>fd</v>
          </cell>
          <cell r="F150">
            <v>295</v>
          </cell>
          <cell r="G150">
            <v>88.647499999999994</v>
          </cell>
          <cell r="H150">
            <v>15.956549999999998</v>
          </cell>
          <cell r="I150">
            <v>104.60404999999999</v>
          </cell>
        </row>
        <row r="151">
          <cell r="A151" t="str">
            <v>P2403199</v>
          </cell>
          <cell r="B151" t="str">
            <v>Material</v>
          </cell>
          <cell r="C151" t="str">
            <v>Agua</v>
          </cell>
          <cell r="D151">
            <v>1.8720000000000001</v>
          </cell>
          <cell r="E151" t="str">
            <v>gl</v>
          </cell>
          <cell r="F151">
            <v>1.58</v>
          </cell>
          <cell r="G151">
            <v>2.9577600000000004</v>
          </cell>
          <cell r="H151">
            <v>0.5323968</v>
          </cell>
          <cell r="I151">
            <v>3.4901568000000003</v>
          </cell>
        </row>
        <row r="152">
          <cell r="A152" t="str">
            <v>P0109018</v>
          </cell>
          <cell r="B152" t="str">
            <v>Auxiliar</v>
          </cell>
          <cell r="C152" t="str">
            <v>Hormigón In Situ fc=120Kg/Cm²  Agreg 3/8@1/2</v>
          </cell>
          <cell r="D152">
            <v>9.1999999999999998E-2</v>
          </cell>
          <cell r="E152" t="str">
            <v>m³</v>
          </cell>
          <cell r="F152">
            <v>4435.2180000000008</v>
          </cell>
          <cell r="G152">
            <v>408.04005600000005</v>
          </cell>
          <cell r="H152">
            <v>51.091210079999989</v>
          </cell>
          <cell r="I152">
            <v>459.13126608000005</v>
          </cell>
        </row>
        <row r="153">
          <cell r="A153" t="str">
            <v>P0401066</v>
          </cell>
          <cell r="B153" t="str">
            <v>Material</v>
          </cell>
          <cell r="C153" t="str">
            <v>Acero G-60, Long. Variable</v>
          </cell>
          <cell r="D153">
            <v>4.4900000000000002E-2</v>
          </cell>
          <cell r="E153" t="str">
            <v>qq</v>
          </cell>
          <cell r="F153">
            <v>2285</v>
          </cell>
          <cell r="G153">
            <v>102.59650000000001</v>
          </cell>
          <cell r="H153">
            <v>18.467369999999999</v>
          </cell>
          <cell r="I153">
            <v>121.06387000000001</v>
          </cell>
        </row>
        <row r="154">
          <cell r="A154" t="str">
            <v>P0418006</v>
          </cell>
          <cell r="B154" t="str">
            <v>Material</v>
          </cell>
          <cell r="C154" t="str">
            <v>Alambre galvanizado liso #18</v>
          </cell>
          <cell r="D154">
            <v>8.9800000000000005E-2</v>
          </cell>
          <cell r="E154" t="str">
            <v>lb</v>
          </cell>
          <cell r="F154">
            <v>42.28</v>
          </cell>
          <cell r="G154">
            <v>3.7967440000000003</v>
          </cell>
          <cell r="H154">
            <v>0.68341392000000001</v>
          </cell>
          <cell r="I154">
            <v>4.4801579199999999</v>
          </cell>
        </row>
        <row r="155">
          <cell r="A155" t="str">
            <v>H0320201</v>
          </cell>
          <cell r="B155" t="str">
            <v>Mano de obra</v>
          </cell>
          <cell r="C155" t="str">
            <v>M.O. Alb. Colocación Bloques de 6" (Inc. Llenado y Acero)</v>
          </cell>
          <cell r="D155">
            <v>13</v>
          </cell>
          <cell r="E155" t="str">
            <v>u</v>
          </cell>
          <cell r="F155">
            <v>15.7</v>
          </cell>
          <cell r="G155">
            <v>204.1</v>
          </cell>
          <cell r="H155">
            <v>0</v>
          </cell>
          <cell r="I155">
            <v>204.1</v>
          </cell>
        </row>
        <row r="156">
          <cell r="A156" t="str">
            <v>H0325001</v>
          </cell>
          <cell r="B156" t="str">
            <v>Auxiliar</v>
          </cell>
          <cell r="C156" t="str">
            <v>M.O. Resanes de Albañilería p/ Instalaciones</v>
          </cell>
          <cell r="D156">
            <v>1</v>
          </cell>
          <cell r="E156" t="str">
            <v>m²</v>
          </cell>
          <cell r="F156">
            <v>41.172494999999998</v>
          </cell>
          <cell r="G156">
            <v>41.172494999999998</v>
          </cell>
          <cell r="H156">
            <v>0</v>
          </cell>
          <cell r="I156">
            <v>41.172494999999998</v>
          </cell>
        </row>
        <row r="157">
          <cell r="A157" t="str">
            <v>H%FH</v>
          </cell>
          <cell r="B157" t="str">
            <v>Otros</v>
          </cell>
          <cell r="C157" t="str">
            <v>Factor Herramientas</v>
          </cell>
          <cell r="D157">
            <v>1</v>
          </cell>
          <cell r="E157" t="str">
            <v>%</v>
          </cell>
          <cell r="F157">
            <v>41.172494999999998</v>
          </cell>
          <cell r="G157">
            <v>0.41172494999999998</v>
          </cell>
          <cell r="H157">
            <v>0</v>
          </cell>
          <cell r="I157">
            <v>0.41172494999999998</v>
          </cell>
        </row>
        <row r="158">
          <cell r="A158">
            <v>0</v>
          </cell>
          <cell r="B158">
            <v>0</v>
          </cell>
          <cell r="C158" t="str">
            <v>Total 01.04.06</v>
          </cell>
          <cell r="D158">
            <v>1</v>
          </cell>
          <cell r="E158">
            <v>0</v>
          </cell>
          <cell r="F158">
            <v>0</v>
          </cell>
          <cell r="G158">
            <v>1192.9063039499999</v>
          </cell>
          <cell r="H158">
            <v>148.14397511999996</v>
          </cell>
          <cell r="I158">
            <v>1341.05027907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01.04.07</v>
          </cell>
          <cell r="B160" t="str">
            <v>Partida</v>
          </cell>
          <cell r="C160" t="str">
            <v>Bloques de 6" SNP Ø 3/8 @ 0.80</v>
          </cell>
          <cell r="D160">
            <v>1</v>
          </cell>
          <cell r="E160" t="str">
            <v>m²</v>
          </cell>
          <cell r="F160">
            <v>0</v>
          </cell>
          <cell r="G160">
            <v>833.56116195000004</v>
          </cell>
          <cell r="H160">
            <v>100.22884955999999</v>
          </cell>
          <cell r="I160">
            <v>933.79001151</v>
          </cell>
        </row>
        <row r="161">
          <cell r="A161" t="str">
            <v>P1805011</v>
          </cell>
          <cell r="B161" t="str">
            <v>Material</v>
          </cell>
          <cell r="C161" t="str">
            <v>Bloque de hormigón de 6"</v>
          </cell>
          <cell r="D161">
            <v>13.125</v>
          </cell>
          <cell r="E161" t="str">
            <v>u</v>
          </cell>
          <cell r="F161">
            <v>23.52</v>
          </cell>
          <cell r="G161">
            <v>308.7</v>
          </cell>
          <cell r="H161">
            <v>55.565999999999995</v>
          </cell>
          <cell r="I161">
            <v>364.26599999999996</v>
          </cell>
        </row>
        <row r="162">
          <cell r="A162" t="str">
            <v>P0201008</v>
          </cell>
          <cell r="B162" t="str">
            <v>Material</v>
          </cell>
          <cell r="C162" t="str">
            <v>Arena Itabo Lavada</v>
          </cell>
          <cell r="D162">
            <v>3.49E-2</v>
          </cell>
          <cell r="E162" t="str">
            <v>m³</v>
          </cell>
          <cell r="F162">
            <v>930.76</v>
          </cell>
          <cell r="G162">
            <v>32.483524000000003</v>
          </cell>
          <cell r="H162">
            <v>5.8470343200000006</v>
          </cell>
          <cell r="I162">
            <v>38.330558320000002</v>
          </cell>
        </row>
        <row r="163">
          <cell r="A163" t="str">
            <v>P0601003</v>
          </cell>
          <cell r="B163" t="str">
            <v>Material</v>
          </cell>
          <cell r="C163" t="str">
            <v>Cemento Gris 94 lbs. Tipo Portland</v>
          </cell>
          <cell r="D163">
            <v>0.30049999999999999</v>
          </cell>
          <cell r="E163" t="str">
            <v>fd</v>
          </cell>
          <cell r="F163">
            <v>295</v>
          </cell>
          <cell r="G163">
            <v>88.647499999999994</v>
          </cell>
          <cell r="H163">
            <v>15.956549999999998</v>
          </cell>
          <cell r="I163">
            <v>104.60404999999999</v>
          </cell>
        </row>
        <row r="164">
          <cell r="A164" t="str">
            <v>P2403199</v>
          </cell>
          <cell r="B164" t="str">
            <v>Material</v>
          </cell>
          <cell r="C164" t="str">
            <v>Agua</v>
          </cell>
          <cell r="D164">
            <v>1.8720000000000001</v>
          </cell>
          <cell r="E164" t="str">
            <v>gl</v>
          </cell>
          <cell r="F164">
            <v>1.58</v>
          </cell>
          <cell r="G164">
            <v>2.9577600000000004</v>
          </cell>
          <cell r="H164">
            <v>0.5323968</v>
          </cell>
          <cell r="I164">
            <v>3.4901568000000003</v>
          </cell>
        </row>
        <row r="165">
          <cell r="A165" t="str">
            <v>P0109018</v>
          </cell>
          <cell r="B165" t="str">
            <v>Auxiliar</v>
          </cell>
          <cell r="C165" t="str">
            <v>Hormigón In Situ fc=120Kg/Cm²  Agreg 3/8@1/2</v>
          </cell>
          <cell r="D165">
            <v>2.3E-2</v>
          </cell>
          <cell r="E165" t="str">
            <v>m³</v>
          </cell>
          <cell r="F165">
            <v>4435.2180000000008</v>
          </cell>
          <cell r="G165">
            <v>102.01001400000001</v>
          </cell>
          <cell r="H165">
            <v>12.772802519999997</v>
          </cell>
          <cell r="I165">
            <v>114.78281652000001</v>
          </cell>
        </row>
        <row r="166">
          <cell r="A166" t="str">
            <v>P0401066</v>
          </cell>
          <cell r="B166" t="str">
            <v>Material</v>
          </cell>
          <cell r="C166" t="str">
            <v>Acero G-60, Long. Variable</v>
          </cell>
          <cell r="D166">
            <v>2.24E-2</v>
          </cell>
          <cell r="E166" t="str">
            <v>qq</v>
          </cell>
          <cell r="F166">
            <v>2285</v>
          </cell>
          <cell r="G166">
            <v>51.183999999999997</v>
          </cell>
          <cell r="H166">
            <v>9.21312</v>
          </cell>
          <cell r="I166">
            <v>60.397120000000001</v>
          </cell>
        </row>
        <row r="167">
          <cell r="A167" t="str">
            <v>P0418006</v>
          </cell>
          <cell r="B167" t="str">
            <v>Material</v>
          </cell>
          <cell r="C167" t="str">
            <v>Alambre galvanizado liso #18</v>
          </cell>
          <cell r="D167">
            <v>4.48E-2</v>
          </cell>
          <cell r="E167" t="str">
            <v>lb</v>
          </cell>
          <cell r="F167">
            <v>42.28</v>
          </cell>
          <cell r="G167">
            <v>1.894144</v>
          </cell>
          <cell r="H167">
            <v>0.34094592000000001</v>
          </cell>
          <cell r="I167">
            <v>2.2350899200000001</v>
          </cell>
        </row>
        <row r="168">
          <cell r="A168" t="str">
            <v>H0320201</v>
          </cell>
          <cell r="B168" t="str">
            <v>Mano de obra</v>
          </cell>
          <cell r="C168" t="str">
            <v>M.O. Alb. Colocación Bloques de 6" (Inc. Llenado y Acero)</v>
          </cell>
          <cell r="D168">
            <v>13</v>
          </cell>
          <cell r="E168" t="str">
            <v>u</v>
          </cell>
          <cell r="F168">
            <v>15.7</v>
          </cell>
          <cell r="G168">
            <v>204.1</v>
          </cell>
          <cell r="H168">
            <v>0</v>
          </cell>
          <cell r="I168">
            <v>204.1</v>
          </cell>
        </row>
        <row r="169">
          <cell r="A169" t="str">
            <v>H0325001</v>
          </cell>
          <cell r="B169" t="str">
            <v>Auxiliar</v>
          </cell>
          <cell r="C169" t="str">
            <v>M.O. Resanes de Albañilería p/ Instalaciones</v>
          </cell>
          <cell r="D169">
            <v>1</v>
          </cell>
          <cell r="E169" t="str">
            <v>m²</v>
          </cell>
          <cell r="F169">
            <v>41.172494999999998</v>
          </cell>
          <cell r="G169">
            <v>41.172494999999998</v>
          </cell>
          <cell r="H169">
            <v>0</v>
          </cell>
          <cell r="I169">
            <v>41.172494999999998</v>
          </cell>
        </row>
        <row r="170">
          <cell r="A170" t="str">
            <v>H%FH</v>
          </cell>
          <cell r="B170" t="str">
            <v>Otros</v>
          </cell>
          <cell r="C170" t="str">
            <v>Factor Herramientas</v>
          </cell>
          <cell r="D170">
            <v>1</v>
          </cell>
          <cell r="E170" t="str">
            <v>%</v>
          </cell>
          <cell r="F170">
            <v>41.172494999999998</v>
          </cell>
          <cell r="G170">
            <v>0.41172494999999998</v>
          </cell>
          <cell r="H170">
            <v>0</v>
          </cell>
          <cell r="I170">
            <v>0.41172494999999998</v>
          </cell>
        </row>
        <row r="171">
          <cell r="A171">
            <v>0</v>
          </cell>
          <cell r="B171">
            <v>0</v>
          </cell>
          <cell r="C171" t="str">
            <v>Total 01.04.07</v>
          </cell>
          <cell r="D171">
            <v>1</v>
          </cell>
          <cell r="E171">
            <v>0</v>
          </cell>
          <cell r="F171">
            <v>0</v>
          </cell>
          <cell r="G171">
            <v>833.56116195000004</v>
          </cell>
          <cell r="H171">
            <v>100.22884955999999</v>
          </cell>
          <cell r="I171">
            <v>933.79001151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01.04.08</v>
          </cell>
          <cell r="B173" t="str">
            <v>Partida</v>
          </cell>
          <cell r="C173" t="str">
            <v>Bloques de 6" SNP Ø 3/8@ 0.20</v>
          </cell>
          <cell r="D173">
            <v>1</v>
          </cell>
          <cell r="E173" t="str">
            <v>m²</v>
          </cell>
          <cell r="F173">
            <v>0</v>
          </cell>
          <cell r="G173">
            <v>1299.0625919499998</v>
          </cell>
          <cell r="H173">
            <v>167.25210695999999</v>
          </cell>
          <cell r="I173">
            <v>1466.3146989099998</v>
          </cell>
        </row>
        <row r="174">
          <cell r="A174" t="str">
            <v>P1805011</v>
          </cell>
          <cell r="B174" t="str">
            <v>Material</v>
          </cell>
          <cell r="C174" t="str">
            <v>Bloque de hormigón de 6"</v>
          </cell>
          <cell r="D174">
            <v>13.125</v>
          </cell>
          <cell r="E174" t="str">
            <v>u</v>
          </cell>
          <cell r="F174">
            <v>23.52</v>
          </cell>
          <cell r="G174">
            <v>308.7</v>
          </cell>
          <cell r="H174">
            <v>55.565999999999995</v>
          </cell>
          <cell r="I174">
            <v>364.26599999999996</v>
          </cell>
        </row>
        <row r="175">
          <cell r="A175" t="str">
            <v>P0201008</v>
          </cell>
          <cell r="B175" t="str">
            <v>Material</v>
          </cell>
          <cell r="C175" t="str">
            <v>Arena Itabo Lavada</v>
          </cell>
          <cell r="D175">
            <v>3.49E-2</v>
          </cell>
          <cell r="E175" t="str">
            <v>m³</v>
          </cell>
          <cell r="F175">
            <v>930.76</v>
          </cell>
          <cell r="G175">
            <v>32.483524000000003</v>
          </cell>
          <cell r="H175">
            <v>5.8470343200000006</v>
          </cell>
          <cell r="I175">
            <v>38.330558320000002</v>
          </cell>
        </row>
        <row r="176">
          <cell r="A176" t="str">
            <v>P0601003</v>
          </cell>
          <cell r="B176" t="str">
            <v>Material</v>
          </cell>
          <cell r="C176" t="str">
            <v>Cemento Gris 94 lbs. Tipo Portland</v>
          </cell>
          <cell r="D176">
            <v>0.30049999999999999</v>
          </cell>
          <cell r="E176" t="str">
            <v>fd</v>
          </cell>
          <cell r="F176">
            <v>295</v>
          </cell>
          <cell r="G176">
            <v>88.647499999999994</v>
          </cell>
          <cell r="H176">
            <v>15.956549999999998</v>
          </cell>
          <cell r="I176">
            <v>104.60404999999999</v>
          </cell>
        </row>
        <row r="177">
          <cell r="A177" t="str">
            <v>P2403199</v>
          </cell>
          <cell r="B177" t="str">
            <v>Material</v>
          </cell>
          <cell r="C177" t="str">
            <v>Agua</v>
          </cell>
          <cell r="D177">
            <v>1.8720000000000001</v>
          </cell>
          <cell r="E177" t="str">
            <v>gl</v>
          </cell>
          <cell r="F177">
            <v>1.58</v>
          </cell>
          <cell r="G177">
            <v>2.9577600000000004</v>
          </cell>
          <cell r="H177">
            <v>0.5323968</v>
          </cell>
          <cell r="I177">
            <v>3.4901568000000003</v>
          </cell>
        </row>
        <row r="178">
          <cell r="A178" t="str">
            <v>P0109018</v>
          </cell>
          <cell r="B178" t="str">
            <v>Auxiliar</v>
          </cell>
          <cell r="C178" t="str">
            <v>Hormigón In Situ fc=120Kg/Cm²  Agreg 3/8@1/2</v>
          </cell>
          <cell r="D178">
            <v>9.1999999999999998E-2</v>
          </cell>
          <cell r="E178" t="str">
            <v>m³</v>
          </cell>
          <cell r="F178">
            <v>4435.2180000000008</v>
          </cell>
          <cell r="G178">
            <v>408.04005600000005</v>
          </cell>
          <cell r="H178">
            <v>51.091210079999989</v>
          </cell>
          <cell r="I178">
            <v>459.13126608000005</v>
          </cell>
        </row>
        <row r="179">
          <cell r="A179" t="str">
            <v>P0401066</v>
          </cell>
          <cell r="B179" t="str">
            <v>Material</v>
          </cell>
          <cell r="C179" t="str">
            <v>Acero G-60, Long. Variable</v>
          </cell>
          <cell r="D179">
            <v>8.9700000000000002E-2</v>
          </cell>
          <cell r="E179" t="str">
            <v>qq</v>
          </cell>
          <cell r="F179">
            <v>2285</v>
          </cell>
          <cell r="G179">
            <v>204.96450000000002</v>
          </cell>
          <cell r="H179">
            <v>36.893610000000002</v>
          </cell>
          <cell r="I179">
            <v>241.85811000000001</v>
          </cell>
        </row>
        <row r="180">
          <cell r="A180" t="str">
            <v>P0418006</v>
          </cell>
          <cell r="B180" t="str">
            <v>Material</v>
          </cell>
          <cell r="C180" t="str">
            <v>Alambre galvanizado liso #18</v>
          </cell>
          <cell r="D180">
            <v>0.1794</v>
          </cell>
          <cell r="E180" t="str">
            <v>lb</v>
          </cell>
          <cell r="F180">
            <v>42.28</v>
          </cell>
          <cell r="G180">
            <v>7.585032</v>
          </cell>
          <cell r="H180">
            <v>1.36530576</v>
          </cell>
          <cell r="I180">
            <v>8.95033776</v>
          </cell>
        </row>
        <row r="181">
          <cell r="A181" t="str">
            <v>H0320201</v>
          </cell>
          <cell r="B181" t="str">
            <v>Mano de obra</v>
          </cell>
          <cell r="C181" t="str">
            <v>M.O. Alb. Colocación Bloques de 6" (Inc. Llenado y Acero)</v>
          </cell>
          <cell r="D181">
            <v>13</v>
          </cell>
          <cell r="E181" t="str">
            <v>u</v>
          </cell>
          <cell r="F181">
            <v>15.7</v>
          </cell>
          <cell r="G181">
            <v>204.1</v>
          </cell>
          <cell r="H181">
            <v>0</v>
          </cell>
          <cell r="I181">
            <v>204.1</v>
          </cell>
        </row>
        <row r="182">
          <cell r="A182" t="str">
            <v>H0325001</v>
          </cell>
          <cell r="B182" t="str">
            <v>Auxiliar</v>
          </cell>
          <cell r="C182" t="str">
            <v>M.O. Resanes de Albañilería p/ Instalaciones</v>
          </cell>
          <cell r="D182">
            <v>1</v>
          </cell>
          <cell r="E182" t="str">
            <v>m²</v>
          </cell>
          <cell r="F182">
            <v>41.172494999999998</v>
          </cell>
          <cell r="G182">
            <v>41.172494999999998</v>
          </cell>
          <cell r="H182">
            <v>0</v>
          </cell>
          <cell r="I182">
            <v>41.172494999999998</v>
          </cell>
        </row>
        <row r="183">
          <cell r="A183" t="str">
            <v>H%FH</v>
          </cell>
          <cell r="B183" t="str">
            <v>Otros</v>
          </cell>
          <cell r="C183" t="str">
            <v>Factor Herramientas</v>
          </cell>
          <cell r="D183">
            <v>1</v>
          </cell>
          <cell r="E183" t="str">
            <v>%</v>
          </cell>
          <cell r="F183">
            <v>41.172494999999998</v>
          </cell>
          <cell r="G183">
            <v>0.41172494999999998</v>
          </cell>
          <cell r="H183">
            <v>0</v>
          </cell>
          <cell r="I183">
            <v>0.41172494999999998</v>
          </cell>
        </row>
        <row r="184">
          <cell r="A184">
            <v>0</v>
          </cell>
          <cell r="B184">
            <v>0</v>
          </cell>
          <cell r="C184" t="str">
            <v>Total 01.04.08</v>
          </cell>
          <cell r="D184">
            <v>1</v>
          </cell>
          <cell r="E184">
            <v>0</v>
          </cell>
          <cell r="F184">
            <v>0</v>
          </cell>
          <cell r="G184">
            <v>1299.0625919499998</v>
          </cell>
          <cell r="H184">
            <v>167.25210695999999</v>
          </cell>
          <cell r="I184">
            <v>1466.3146989099998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01.04.09</v>
          </cell>
          <cell r="B186" t="str">
            <v>Partida</v>
          </cell>
          <cell r="C186" t="str">
            <v>Bloques de 6" SNP Ø 3/8@ 0.40</v>
          </cell>
          <cell r="D186">
            <v>1</v>
          </cell>
          <cell r="E186" t="str">
            <v>m²</v>
          </cell>
          <cell r="F186">
            <v>0</v>
          </cell>
          <cell r="G186">
            <v>988.88627595000003</v>
          </cell>
          <cell r="H186">
            <v>122.59837008</v>
          </cell>
          <cell r="I186">
            <v>1111.48464603</v>
          </cell>
        </row>
        <row r="187">
          <cell r="A187" t="str">
            <v>P1805011</v>
          </cell>
          <cell r="B187" t="str">
            <v>Material</v>
          </cell>
          <cell r="C187" t="str">
            <v>Bloque de hormigón de 6"</v>
          </cell>
          <cell r="D187">
            <v>13.125</v>
          </cell>
          <cell r="E187" t="str">
            <v>u</v>
          </cell>
          <cell r="F187">
            <v>23.52</v>
          </cell>
          <cell r="G187">
            <v>308.7</v>
          </cell>
          <cell r="H187">
            <v>55.565999999999995</v>
          </cell>
          <cell r="I187">
            <v>364.26599999999996</v>
          </cell>
        </row>
        <row r="188">
          <cell r="A188" t="str">
            <v>P0201008</v>
          </cell>
          <cell r="B188" t="str">
            <v>Material</v>
          </cell>
          <cell r="C188" t="str">
            <v>Arena Itabo Lavada</v>
          </cell>
          <cell r="D188">
            <v>3.49E-2</v>
          </cell>
          <cell r="E188" t="str">
            <v>m³</v>
          </cell>
          <cell r="F188">
            <v>930.76</v>
          </cell>
          <cell r="G188">
            <v>32.483524000000003</v>
          </cell>
          <cell r="H188">
            <v>5.8470343200000006</v>
          </cell>
          <cell r="I188">
            <v>38.330558320000002</v>
          </cell>
        </row>
        <row r="189">
          <cell r="A189" t="str">
            <v>P0601003</v>
          </cell>
          <cell r="B189" t="str">
            <v>Material</v>
          </cell>
          <cell r="C189" t="str">
            <v>Cemento Gris 94 lbs. Tipo Portland</v>
          </cell>
          <cell r="D189">
            <v>0.30049999999999999</v>
          </cell>
          <cell r="E189" t="str">
            <v>fd</v>
          </cell>
          <cell r="F189">
            <v>295</v>
          </cell>
          <cell r="G189">
            <v>88.647499999999994</v>
          </cell>
          <cell r="H189">
            <v>15.956549999999998</v>
          </cell>
          <cell r="I189">
            <v>104.60404999999999</v>
          </cell>
        </row>
        <row r="190">
          <cell r="A190" t="str">
            <v>P2403199</v>
          </cell>
          <cell r="B190" t="str">
            <v>Material</v>
          </cell>
          <cell r="C190" t="str">
            <v>Agua</v>
          </cell>
          <cell r="D190">
            <v>1.8720000000000001</v>
          </cell>
          <cell r="E190" t="str">
            <v>gl</v>
          </cell>
          <cell r="F190">
            <v>1.58</v>
          </cell>
          <cell r="G190">
            <v>2.9577600000000004</v>
          </cell>
          <cell r="H190">
            <v>0.5323968</v>
          </cell>
          <cell r="I190">
            <v>3.4901568000000003</v>
          </cell>
        </row>
        <row r="191">
          <cell r="A191" t="str">
            <v>P0109018</v>
          </cell>
          <cell r="B191" t="str">
            <v>Auxiliar</v>
          </cell>
          <cell r="C191" t="str">
            <v>Hormigón In Situ fc=120Kg/Cm²  Agreg 3/8@1/2</v>
          </cell>
          <cell r="D191">
            <v>4.5999999999999999E-2</v>
          </cell>
          <cell r="E191" t="str">
            <v>m³</v>
          </cell>
          <cell r="F191">
            <v>4435.2180000000008</v>
          </cell>
          <cell r="G191">
            <v>204.02002800000002</v>
          </cell>
          <cell r="H191">
            <v>25.545605039999995</v>
          </cell>
          <cell r="I191">
            <v>229.56563304000002</v>
          </cell>
        </row>
        <row r="192">
          <cell r="A192" t="str">
            <v>P0401066</v>
          </cell>
          <cell r="B192" t="str">
            <v>Material</v>
          </cell>
          <cell r="C192" t="str">
            <v>Acero G-60, Long. Variable</v>
          </cell>
          <cell r="D192">
            <v>4.4900000000000002E-2</v>
          </cell>
          <cell r="E192" t="str">
            <v>qq</v>
          </cell>
          <cell r="F192">
            <v>2285</v>
          </cell>
          <cell r="G192">
            <v>102.59650000000001</v>
          </cell>
          <cell r="H192">
            <v>18.467369999999999</v>
          </cell>
          <cell r="I192">
            <v>121.06387000000001</v>
          </cell>
        </row>
        <row r="193">
          <cell r="A193" t="str">
            <v>P0418006</v>
          </cell>
          <cell r="B193" t="str">
            <v>Material</v>
          </cell>
          <cell r="C193" t="str">
            <v>Alambre galvanizado liso #18</v>
          </cell>
          <cell r="D193">
            <v>8.9800000000000005E-2</v>
          </cell>
          <cell r="E193" t="str">
            <v>lb</v>
          </cell>
          <cell r="F193">
            <v>42.28</v>
          </cell>
          <cell r="G193">
            <v>3.7967440000000003</v>
          </cell>
          <cell r="H193">
            <v>0.68341392000000001</v>
          </cell>
          <cell r="I193">
            <v>4.4801579199999999</v>
          </cell>
        </row>
        <row r="194">
          <cell r="A194" t="str">
            <v>H0320201</v>
          </cell>
          <cell r="B194" t="str">
            <v>Mano de obra</v>
          </cell>
          <cell r="C194" t="str">
            <v>M.O. Alb. Colocación Bloques de 6" (Inc. Llenado y Acero)</v>
          </cell>
          <cell r="D194">
            <v>13</v>
          </cell>
          <cell r="E194" t="str">
            <v>u</v>
          </cell>
          <cell r="F194">
            <v>15.7</v>
          </cell>
          <cell r="G194">
            <v>204.1</v>
          </cell>
          <cell r="H194">
            <v>0</v>
          </cell>
          <cell r="I194">
            <v>204.1</v>
          </cell>
        </row>
        <row r="195">
          <cell r="A195" t="str">
            <v>H0325001</v>
          </cell>
          <cell r="B195" t="str">
            <v>Auxiliar</v>
          </cell>
          <cell r="C195" t="str">
            <v>M.O. Resanes de Albañilería p/ Instalaciones</v>
          </cell>
          <cell r="D195">
            <v>1</v>
          </cell>
          <cell r="E195" t="str">
            <v>m²</v>
          </cell>
          <cell r="F195">
            <v>41.172494999999998</v>
          </cell>
          <cell r="G195">
            <v>41.172494999999998</v>
          </cell>
          <cell r="H195">
            <v>0</v>
          </cell>
          <cell r="I195">
            <v>41.172494999999998</v>
          </cell>
        </row>
        <row r="196">
          <cell r="A196" t="str">
            <v>H%FH</v>
          </cell>
          <cell r="B196" t="str">
            <v>Otros</v>
          </cell>
          <cell r="C196" t="str">
            <v>Factor Herramientas</v>
          </cell>
          <cell r="D196">
            <v>1</v>
          </cell>
          <cell r="E196" t="str">
            <v>%</v>
          </cell>
          <cell r="F196">
            <v>41.172494999999998</v>
          </cell>
          <cell r="G196">
            <v>0.41172494999999998</v>
          </cell>
          <cell r="H196">
            <v>0</v>
          </cell>
          <cell r="I196">
            <v>0.41172494999999998</v>
          </cell>
        </row>
        <row r="197">
          <cell r="A197">
            <v>0</v>
          </cell>
          <cell r="B197">
            <v>0</v>
          </cell>
          <cell r="C197" t="str">
            <v>Total 01.04.09</v>
          </cell>
          <cell r="D197">
            <v>1</v>
          </cell>
          <cell r="E197">
            <v>0</v>
          </cell>
          <cell r="F197">
            <v>0</v>
          </cell>
          <cell r="G197">
            <v>988.88627595000003</v>
          </cell>
          <cell r="H197">
            <v>122.59837008</v>
          </cell>
          <cell r="I197">
            <v>1111.48464603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01.04.10</v>
          </cell>
          <cell r="B199" t="str">
            <v>Partida</v>
          </cell>
          <cell r="C199" t="str">
            <v>Bloques de 8" BNP Ø 3/8@ 0.60, con 1 serpentina @ 0.40 mts. Todas las cámaras llenas.</v>
          </cell>
          <cell r="D199">
            <v>1</v>
          </cell>
          <cell r="E199" t="str">
            <v>m²</v>
          </cell>
          <cell r="F199">
            <v>0</v>
          </cell>
          <cell r="G199">
            <v>1579.4244820000004</v>
          </cell>
          <cell r="H199">
            <v>212.59349676000002</v>
          </cell>
          <cell r="I199">
            <v>1792.0179787600002</v>
          </cell>
        </row>
        <row r="200">
          <cell r="A200" t="str">
            <v>P1805012</v>
          </cell>
          <cell r="B200" t="str">
            <v>Material</v>
          </cell>
          <cell r="C200" t="str">
            <v>Bloque de hormigón de 8"</v>
          </cell>
          <cell r="D200">
            <v>13.125</v>
          </cell>
          <cell r="E200" t="str">
            <v>u</v>
          </cell>
          <cell r="F200">
            <v>29.97</v>
          </cell>
          <cell r="G200">
            <v>393.35624999999999</v>
          </cell>
          <cell r="H200">
            <v>70.804124999999999</v>
          </cell>
          <cell r="I200">
            <v>464.16037499999999</v>
          </cell>
        </row>
        <row r="201">
          <cell r="A201" t="str">
            <v>P0201008</v>
          </cell>
          <cell r="B201" t="str">
            <v>Material</v>
          </cell>
          <cell r="C201" t="str">
            <v>Arena Itabo Lavada</v>
          </cell>
          <cell r="D201">
            <v>5.6000000000000001E-2</v>
          </cell>
          <cell r="E201" t="str">
            <v>m³</v>
          </cell>
          <cell r="F201">
            <v>930.76</v>
          </cell>
          <cell r="G201">
            <v>52.12256</v>
          </cell>
          <cell r="H201">
            <v>9.3820607999999996</v>
          </cell>
          <cell r="I201">
            <v>61.504620799999998</v>
          </cell>
        </row>
        <row r="202">
          <cell r="A202" t="str">
            <v>P0601003</v>
          </cell>
          <cell r="B202" t="str">
            <v>Material</v>
          </cell>
          <cell r="C202" t="str">
            <v>Cemento Gris 94 lbs. Tipo Portland</v>
          </cell>
          <cell r="D202">
            <v>0.43340000000000001</v>
          </cell>
          <cell r="E202" t="str">
            <v>fd</v>
          </cell>
          <cell r="F202">
            <v>295</v>
          </cell>
          <cell r="G202">
            <v>127.85300000000001</v>
          </cell>
          <cell r="H202">
            <v>23.013539999999999</v>
          </cell>
          <cell r="I202">
            <v>150.86654000000001</v>
          </cell>
        </row>
        <row r="203">
          <cell r="A203" t="str">
            <v>P2403199</v>
          </cell>
          <cell r="B203" t="str">
            <v>Material</v>
          </cell>
          <cell r="C203" t="str">
            <v>Agua</v>
          </cell>
          <cell r="D203">
            <v>3</v>
          </cell>
          <cell r="E203" t="str">
            <v>gl</v>
          </cell>
          <cell r="F203">
            <v>1.58</v>
          </cell>
          <cell r="G203">
            <v>4.74</v>
          </cell>
          <cell r="H203">
            <v>0.85319999999999996</v>
          </cell>
          <cell r="I203">
            <v>5.5932000000000004</v>
          </cell>
        </row>
        <row r="204">
          <cell r="A204" t="str">
            <v>P0109018</v>
          </cell>
          <cell r="B204" t="str">
            <v>Auxiliar</v>
          </cell>
          <cell r="C204" t="str">
            <v>Hormigón In Situ fc=120Kg/Cm²  Agreg 3/8@1/2</v>
          </cell>
          <cell r="D204">
            <v>0.13800000000000001</v>
          </cell>
          <cell r="E204" t="str">
            <v>m³</v>
          </cell>
          <cell r="F204">
            <v>4435.2180000000008</v>
          </cell>
          <cell r="G204">
            <v>612.06008400000019</v>
          </cell>
          <cell r="H204">
            <v>76.636815119999994</v>
          </cell>
          <cell r="I204">
            <v>688.69689912000013</v>
          </cell>
        </row>
        <row r="205">
          <cell r="A205" t="str">
            <v>P0401066</v>
          </cell>
          <cell r="B205" t="str">
            <v>Material</v>
          </cell>
          <cell r="C205" t="str">
            <v>Acero G-60, Long. Variable</v>
          </cell>
          <cell r="D205">
            <v>7.4800000000000005E-2</v>
          </cell>
          <cell r="E205" t="str">
            <v>qq</v>
          </cell>
          <cell r="F205">
            <v>2285</v>
          </cell>
          <cell r="G205">
            <v>170.91800000000001</v>
          </cell>
          <cell r="H205">
            <v>30.765239999999999</v>
          </cell>
          <cell r="I205">
            <v>201.68324000000001</v>
          </cell>
        </row>
        <row r="206">
          <cell r="A206" t="str">
            <v>P0418006</v>
          </cell>
          <cell r="B206" t="str">
            <v>Material</v>
          </cell>
          <cell r="C206" t="str">
            <v>Alambre galvanizado liso #18</v>
          </cell>
          <cell r="D206">
            <v>0.14960000000000001</v>
          </cell>
          <cell r="E206" t="str">
            <v>lb</v>
          </cell>
          <cell r="F206">
            <v>42.28</v>
          </cell>
          <cell r="G206">
            <v>6.3250880000000009</v>
          </cell>
          <cell r="H206">
            <v>1.1385158400000002</v>
          </cell>
          <cell r="I206">
            <v>7.4636038400000011</v>
          </cell>
        </row>
        <row r="207">
          <cell r="A207" t="str">
            <v>H0320204</v>
          </cell>
          <cell r="B207" t="str">
            <v>Mano de obra</v>
          </cell>
          <cell r="C207" t="str">
            <v>M.O. Alb colocación bloques de 8" (Inc. Llenado y Acero)</v>
          </cell>
          <cell r="D207">
            <v>13</v>
          </cell>
          <cell r="E207" t="str">
            <v>u</v>
          </cell>
          <cell r="F207">
            <v>16.149999999999999</v>
          </cell>
          <cell r="G207">
            <v>209.95</v>
          </cell>
          <cell r="H207">
            <v>0</v>
          </cell>
          <cell r="I207">
            <v>209.95</v>
          </cell>
        </row>
        <row r="208">
          <cell r="A208" t="str">
            <v>H%FH</v>
          </cell>
          <cell r="B208" t="str">
            <v>Otros</v>
          </cell>
          <cell r="C208" t="str">
            <v>Factor Herramientas</v>
          </cell>
          <cell r="D208">
            <v>1</v>
          </cell>
          <cell r="E208" t="str">
            <v>%</v>
          </cell>
          <cell r="F208">
            <v>209.95</v>
          </cell>
          <cell r="G208">
            <v>2.0994999999999999</v>
          </cell>
          <cell r="H208">
            <v>0</v>
          </cell>
          <cell r="I208">
            <v>2.0994999999999999</v>
          </cell>
        </row>
        <row r="209">
          <cell r="A209">
            <v>0</v>
          </cell>
          <cell r="B209">
            <v>0</v>
          </cell>
          <cell r="C209" t="str">
            <v>Total 01.04.10</v>
          </cell>
          <cell r="D209">
            <v>1</v>
          </cell>
          <cell r="E209">
            <v>0</v>
          </cell>
          <cell r="F209">
            <v>0</v>
          </cell>
          <cell r="G209">
            <v>1579.4244820000004</v>
          </cell>
          <cell r="H209">
            <v>212.59349676000002</v>
          </cell>
          <cell r="I209">
            <v>1792.0179787600002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01.04.11</v>
          </cell>
          <cell r="B211" t="str">
            <v>Partida</v>
          </cell>
          <cell r="C211" t="str">
            <v>Bloques de 8" BNP y SNP Ø 3/8@ 0.60mt</v>
          </cell>
          <cell r="D211">
            <v>1</v>
          </cell>
          <cell r="E211" t="str">
            <v>m²</v>
          </cell>
          <cell r="F211">
            <v>0</v>
          </cell>
          <cell r="G211">
            <v>1064.991182</v>
          </cell>
          <cell r="H211">
            <v>142.35150275999999</v>
          </cell>
          <cell r="I211">
            <v>1207.3426847600001</v>
          </cell>
        </row>
        <row r="212">
          <cell r="A212" t="str">
            <v>P1805012</v>
          </cell>
          <cell r="B212" t="str">
            <v>Material</v>
          </cell>
          <cell r="C212" t="str">
            <v>Bloque de hormigón de 8"</v>
          </cell>
          <cell r="D212">
            <v>13.125</v>
          </cell>
          <cell r="E212" t="str">
            <v>u</v>
          </cell>
          <cell r="F212">
            <v>29.97</v>
          </cell>
          <cell r="G212">
            <v>393.35624999999999</v>
          </cell>
          <cell r="H212">
            <v>70.804124999999999</v>
          </cell>
          <cell r="I212">
            <v>464.16037499999999</v>
          </cell>
        </row>
        <row r="213">
          <cell r="A213" t="str">
            <v>P0201008</v>
          </cell>
          <cell r="B213" t="str">
            <v>Material</v>
          </cell>
          <cell r="C213" t="str">
            <v>Arena Itabo Lavada</v>
          </cell>
          <cell r="D213">
            <v>5.6000000000000001E-2</v>
          </cell>
          <cell r="E213" t="str">
            <v>m³</v>
          </cell>
          <cell r="F213">
            <v>930.76</v>
          </cell>
          <cell r="G213">
            <v>52.12256</v>
          </cell>
          <cell r="H213">
            <v>9.3820607999999996</v>
          </cell>
          <cell r="I213">
            <v>61.504620799999998</v>
          </cell>
        </row>
        <row r="214">
          <cell r="A214" t="str">
            <v>P0601003</v>
          </cell>
          <cell r="B214" t="str">
            <v>Material</v>
          </cell>
          <cell r="C214" t="str">
            <v>Cemento Gris 94 lbs. Tipo Portland</v>
          </cell>
          <cell r="D214">
            <v>0.43340000000000001</v>
          </cell>
          <cell r="E214" t="str">
            <v>fd</v>
          </cell>
          <cell r="F214">
            <v>295</v>
          </cell>
          <cell r="G214">
            <v>127.85300000000001</v>
          </cell>
          <cell r="H214">
            <v>23.013539999999999</v>
          </cell>
          <cell r="I214">
            <v>150.86654000000001</v>
          </cell>
        </row>
        <row r="215">
          <cell r="A215" t="str">
            <v>P2403199</v>
          </cell>
          <cell r="B215" t="str">
            <v>Material</v>
          </cell>
          <cell r="C215" t="str">
            <v>Agua</v>
          </cell>
          <cell r="D215">
            <v>3</v>
          </cell>
          <cell r="E215" t="str">
            <v>gl</v>
          </cell>
          <cell r="F215">
            <v>1.58</v>
          </cell>
          <cell r="G215">
            <v>4.74</v>
          </cell>
          <cell r="H215">
            <v>0.85319999999999996</v>
          </cell>
          <cell r="I215">
            <v>5.5932000000000004</v>
          </cell>
        </row>
        <row r="216">
          <cell r="A216" t="str">
            <v>P0109018</v>
          </cell>
          <cell r="B216" t="str">
            <v>Auxiliar</v>
          </cell>
          <cell r="C216" t="str">
            <v>Hormigón In Situ fc=120Kg/Cm²  Agreg 3/8@1/2</v>
          </cell>
          <cell r="D216">
            <v>4.5999999999999999E-2</v>
          </cell>
          <cell r="E216" t="str">
            <v>m³</v>
          </cell>
          <cell r="F216">
            <v>4435.2180000000008</v>
          </cell>
          <cell r="G216">
            <v>204.02002800000002</v>
          </cell>
          <cell r="H216">
            <v>25.545605039999995</v>
          </cell>
          <cell r="I216">
            <v>229.56563304000002</v>
          </cell>
        </row>
        <row r="217">
          <cell r="A217" t="str">
            <v>P0401066</v>
          </cell>
          <cell r="B217" t="str">
            <v>Material</v>
          </cell>
          <cell r="C217" t="str">
            <v>Acero G-60, Long. Variable</v>
          </cell>
          <cell r="D217">
            <v>2.9899999999999999E-2</v>
          </cell>
          <cell r="E217" t="str">
            <v>qq</v>
          </cell>
          <cell r="F217">
            <v>2285</v>
          </cell>
          <cell r="G217">
            <v>68.3215</v>
          </cell>
          <cell r="H217">
            <v>12.29787</v>
          </cell>
          <cell r="I217">
            <v>80.619370000000004</v>
          </cell>
        </row>
        <row r="218">
          <cell r="A218" t="str">
            <v>P0418006</v>
          </cell>
          <cell r="B218" t="str">
            <v>Material</v>
          </cell>
          <cell r="C218" t="str">
            <v>Alambre galvanizado liso #18</v>
          </cell>
          <cell r="D218">
            <v>5.9799999999999999E-2</v>
          </cell>
          <cell r="E218" t="str">
            <v>lb</v>
          </cell>
          <cell r="F218">
            <v>42.28</v>
          </cell>
          <cell r="G218">
            <v>2.5283440000000001</v>
          </cell>
          <cell r="H218">
            <v>0.45510191999999999</v>
          </cell>
          <cell r="I218">
            <v>2.9834459200000003</v>
          </cell>
        </row>
        <row r="219">
          <cell r="A219" t="str">
            <v>H0320204</v>
          </cell>
          <cell r="B219" t="str">
            <v>Mano de obra</v>
          </cell>
          <cell r="C219" t="str">
            <v>M.O. Alb colocación bloques de 8" (Inc. Llenado y Acero)</v>
          </cell>
          <cell r="D219">
            <v>13</v>
          </cell>
          <cell r="E219" t="str">
            <v>u</v>
          </cell>
          <cell r="F219">
            <v>16.149999999999999</v>
          </cell>
          <cell r="G219">
            <v>209.95</v>
          </cell>
          <cell r="H219">
            <v>0</v>
          </cell>
          <cell r="I219">
            <v>209.95</v>
          </cell>
        </row>
        <row r="220">
          <cell r="A220" t="str">
            <v>H%FH</v>
          </cell>
          <cell r="B220" t="str">
            <v>Otros</v>
          </cell>
          <cell r="C220" t="str">
            <v>Factor Herramientas</v>
          </cell>
          <cell r="D220">
            <v>1</v>
          </cell>
          <cell r="E220" t="str">
            <v>%</v>
          </cell>
          <cell r="F220">
            <v>209.95</v>
          </cell>
          <cell r="G220">
            <v>2.0994999999999999</v>
          </cell>
          <cell r="H220">
            <v>0</v>
          </cell>
          <cell r="I220">
            <v>2.0994999999999999</v>
          </cell>
        </row>
        <row r="221">
          <cell r="A221">
            <v>0</v>
          </cell>
          <cell r="B221">
            <v>0</v>
          </cell>
          <cell r="C221" t="str">
            <v>Total 01.04.11</v>
          </cell>
          <cell r="D221">
            <v>1</v>
          </cell>
          <cell r="E221">
            <v>0</v>
          </cell>
          <cell r="F221">
            <v>0</v>
          </cell>
          <cell r="G221">
            <v>1064.991182</v>
          </cell>
          <cell r="H221">
            <v>142.35150275999999</v>
          </cell>
          <cell r="I221">
            <v>1207.3426847600001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01.04.12</v>
          </cell>
          <cell r="B223" t="str">
            <v>Partida</v>
          </cell>
          <cell r="C223" t="str">
            <v>Bloques de 8" Mampostería M3. SNP Ø 3/8@ 0.60 con 2 serpentina cada 2 lineas</v>
          </cell>
          <cell r="D223">
            <v>1</v>
          </cell>
          <cell r="E223" t="str">
            <v>m²</v>
          </cell>
          <cell r="F223">
            <v>0</v>
          </cell>
          <cell r="G223">
            <v>1317.2623899500002</v>
          </cell>
          <cell r="H223">
            <v>180.65307059999998</v>
          </cell>
          <cell r="I223">
            <v>1497.91546055</v>
          </cell>
        </row>
        <row r="224">
          <cell r="A224" t="str">
            <v>P1805012</v>
          </cell>
          <cell r="B224" t="str">
            <v>Material</v>
          </cell>
          <cell r="C224" t="str">
            <v>Bloque de hormigón de 8"</v>
          </cell>
          <cell r="D224">
            <v>13.125</v>
          </cell>
          <cell r="E224" t="str">
            <v>u</v>
          </cell>
          <cell r="F224">
            <v>29.97</v>
          </cell>
          <cell r="G224">
            <v>393.35624999999999</v>
          </cell>
          <cell r="H224">
            <v>70.804124999999999</v>
          </cell>
          <cell r="I224">
            <v>464.16037499999999</v>
          </cell>
        </row>
        <row r="225">
          <cell r="A225" t="str">
            <v>P0201008</v>
          </cell>
          <cell r="B225" t="str">
            <v>Material</v>
          </cell>
          <cell r="C225" t="str">
            <v>Arena Itabo Lavada</v>
          </cell>
          <cell r="D225">
            <v>5.6000000000000001E-2</v>
          </cell>
          <cell r="E225" t="str">
            <v>m³</v>
          </cell>
          <cell r="F225">
            <v>930.76</v>
          </cell>
          <cell r="G225">
            <v>52.12256</v>
          </cell>
          <cell r="H225">
            <v>9.3820607999999996</v>
          </cell>
          <cell r="I225">
            <v>61.504620799999998</v>
          </cell>
        </row>
        <row r="226">
          <cell r="A226" t="str">
            <v>P0601003</v>
          </cell>
          <cell r="B226" t="str">
            <v>Material</v>
          </cell>
          <cell r="C226" t="str">
            <v>Cemento Gris 94 lbs. Tipo Portland</v>
          </cell>
          <cell r="D226">
            <v>0.43340000000000001</v>
          </cell>
          <cell r="E226" t="str">
            <v>fd</v>
          </cell>
          <cell r="F226">
            <v>295</v>
          </cell>
          <cell r="G226">
            <v>127.85300000000001</v>
          </cell>
          <cell r="H226">
            <v>23.013539999999999</v>
          </cell>
          <cell r="I226">
            <v>150.86654000000001</v>
          </cell>
        </row>
        <row r="227">
          <cell r="A227" t="str">
            <v>P2403199</v>
          </cell>
          <cell r="B227" t="str">
            <v>Material</v>
          </cell>
          <cell r="C227" t="str">
            <v>Agua</v>
          </cell>
          <cell r="D227">
            <v>3</v>
          </cell>
          <cell r="E227" t="str">
            <v>gl</v>
          </cell>
          <cell r="F227">
            <v>1.58</v>
          </cell>
          <cell r="G227">
            <v>4.74</v>
          </cell>
          <cell r="H227">
            <v>0.85319999999999996</v>
          </cell>
          <cell r="I227">
            <v>5.5932000000000004</v>
          </cell>
        </row>
        <row r="228">
          <cell r="A228" t="str">
            <v>P0109018</v>
          </cell>
          <cell r="B228" t="str">
            <v>Auxiliar</v>
          </cell>
          <cell r="C228" t="str">
            <v>Hormigón In Situ fc=120Kg/Cm²  Agreg 3/8@1/2</v>
          </cell>
          <cell r="D228">
            <v>4.5999999999999999E-2</v>
          </cell>
          <cell r="E228" t="str">
            <v>m³</v>
          </cell>
          <cell r="F228">
            <v>4435.2180000000008</v>
          </cell>
          <cell r="G228">
            <v>204.02002800000002</v>
          </cell>
          <cell r="H228">
            <v>25.545605039999995</v>
          </cell>
          <cell r="I228">
            <v>229.56563304000002</v>
          </cell>
        </row>
        <row r="229">
          <cell r="A229" t="str">
            <v>P0401066</v>
          </cell>
          <cell r="B229" t="str">
            <v>Material</v>
          </cell>
          <cell r="C229" t="str">
            <v>Acero G-60, Long. Variable</v>
          </cell>
          <cell r="D229">
            <v>0.1197</v>
          </cell>
          <cell r="E229" t="str">
            <v>qq</v>
          </cell>
          <cell r="F229">
            <v>2285</v>
          </cell>
          <cell r="G229">
            <v>273.5145</v>
          </cell>
          <cell r="H229">
            <v>49.232610000000001</v>
          </cell>
          <cell r="I229">
            <v>322.74711000000002</v>
          </cell>
        </row>
        <row r="230">
          <cell r="A230" t="str">
            <v>P0418006</v>
          </cell>
          <cell r="B230" t="str">
            <v>Material</v>
          </cell>
          <cell r="C230" t="str">
            <v>Alambre galvanizado liso #18</v>
          </cell>
          <cell r="D230">
            <v>0.2394</v>
          </cell>
          <cell r="E230" t="str">
            <v>lb</v>
          </cell>
          <cell r="F230">
            <v>42.28</v>
          </cell>
          <cell r="G230">
            <v>10.121831999999999</v>
          </cell>
          <cell r="H230">
            <v>1.8219297599999997</v>
          </cell>
          <cell r="I230">
            <v>11.943761759999999</v>
          </cell>
        </row>
        <row r="231">
          <cell r="A231" t="str">
            <v>H0320204</v>
          </cell>
          <cell r="B231" t="str">
            <v>Mano de obra</v>
          </cell>
          <cell r="C231" t="str">
            <v>M.O. Alb colocación bloques de 8" (Inc. Llenado y Acero)</v>
          </cell>
          <cell r="D231">
            <v>13</v>
          </cell>
          <cell r="E231" t="str">
            <v>u</v>
          </cell>
          <cell r="F231">
            <v>16.149999999999999</v>
          </cell>
          <cell r="G231">
            <v>209.95</v>
          </cell>
          <cell r="H231">
            <v>0</v>
          </cell>
          <cell r="I231">
            <v>209.95</v>
          </cell>
        </row>
        <row r="232">
          <cell r="A232" t="str">
            <v>H0325001</v>
          </cell>
          <cell r="B232" t="str">
            <v>Auxiliar</v>
          </cell>
          <cell r="C232" t="str">
            <v>M.O. Resanes de Albañilería p/ Instalaciones</v>
          </cell>
          <cell r="D232">
            <v>1</v>
          </cell>
          <cell r="E232" t="str">
            <v>m²</v>
          </cell>
          <cell r="F232">
            <v>41.172494999999998</v>
          </cell>
          <cell r="G232">
            <v>41.172494999999998</v>
          </cell>
          <cell r="H232">
            <v>0</v>
          </cell>
          <cell r="I232">
            <v>41.172494999999998</v>
          </cell>
        </row>
        <row r="233">
          <cell r="A233" t="str">
            <v>H%FH</v>
          </cell>
          <cell r="B233" t="str">
            <v>Otros</v>
          </cell>
          <cell r="C233" t="str">
            <v>Factor Herramientas</v>
          </cell>
          <cell r="D233">
            <v>1</v>
          </cell>
          <cell r="E233" t="str">
            <v>%</v>
          </cell>
          <cell r="F233">
            <v>41.172494999999998</v>
          </cell>
          <cell r="G233">
            <v>0.41172494999999998</v>
          </cell>
          <cell r="H233">
            <v>0</v>
          </cell>
          <cell r="I233">
            <v>0.41172494999999998</v>
          </cell>
        </row>
        <row r="234">
          <cell r="A234">
            <v>0</v>
          </cell>
          <cell r="B234">
            <v>0</v>
          </cell>
          <cell r="C234" t="str">
            <v>Total 01.04.12</v>
          </cell>
          <cell r="D234">
            <v>1</v>
          </cell>
          <cell r="E234">
            <v>0</v>
          </cell>
          <cell r="F234">
            <v>0</v>
          </cell>
          <cell r="G234">
            <v>1317.2623899500002</v>
          </cell>
          <cell r="H234">
            <v>180.65307059999998</v>
          </cell>
          <cell r="I234">
            <v>1497.91546055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01.04.13</v>
          </cell>
          <cell r="B236" t="str">
            <v>Partida</v>
          </cell>
          <cell r="C236" t="str">
            <v>Bloques de 8" SNP Ø 3/8@ 0.60</v>
          </cell>
          <cell r="D236">
            <v>1</v>
          </cell>
          <cell r="E236" t="str">
            <v>m²</v>
          </cell>
          <cell r="F236">
            <v>0</v>
          </cell>
          <cell r="G236">
            <v>1104.47590195</v>
          </cell>
          <cell r="H236">
            <v>142.35150275999999</v>
          </cell>
          <cell r="I236">
            <v>1246.8274047100001</v>
          </cell>
        </row>
        <row r="237">
          <cell r="A237" t="str">
            <v>P1805012</v>
          </cell>
          <cell r="B237" t="str">
            <v>Material</v>
          </cell>
          <cell r="C237" t="str">
            <v>Bloque de hormigón de 8"</v>
          </cell>
          <cell r="D237">
            <v>13.125</v>
          </cell>
          <cell r="E237" t="str">
            <v>u</v>
          </cell>
          <cell r="F237">
            <v>29.97</v>
          </cell>
          <cell r="G237">
            <v>393.35624999999999</v>
          </cell>
          <cell r="H237">
            <v>70.804124999999999</v>
          </cell>
          <cell r="I237">
            <v>464.16037499999999</v>
          </cell>
        </row>
        <row r="238">
          <cell r="A238" t="str">
            <v>P0201008</v>
          </cell>
          <cell r="B238" t="str">
            <v>Material</v>
          </cell>
          <cell r="C238" t="str">
            <v>Arena Itabo Lavada</v>
          </cell>
          <cell r="D238">
            <v>5.6000000000000001E-2</v>
          </cell>
          <cell r="E238" t="str">
            <v>m³</v>
          </cell>
          <cell r="F238">
            <v>930.76</v>
          </cell>
          <cell r="G238">
            <v>52.12256</v>
          </cell>
          <cell r="H238">
            <v>9.3820607999999996</v>
          </cell>
          <cell r="I238">
            <v>61.504620799999998</v>
          </cell>
        </row>
        <row r="239">
          <cell r="A239" t="str">
            <v>P0601003</v>
          </cell>
          <cell r="B239" t="str">
            <v>Material</v>
          </cell>
          <cell r="C239" t="str">
            <v>Cemento Gris 94 lbs. Tipo Portland</v>
          </cell>
          <cell r="D239">
            <v>0.43340000000000001</v>
          </cell>
          <cell r="E239" t="str">
            <v>fd</v>
          </cell>
          <cell r="F239">
            <v>295</v>
          </cell>
          <cell r="G239">
            <v>127.85300000000001</v>
          </cell>
          <cell r="H239">
            <v>23.013539999999999</v>
          </cell>
          <cell r="I239">
            <v>150.86654000000001</v>
          </cell>
        </row>
        <row r="240">
          <cell r="A240" t="str">
            <v>P2403199</v>
          </cell>
          <cell r="B240" t="str">
            <v>Material</v>
          </cell>
          <cell r="C240" t="str">
            <v>Agua</v>
          </cell>
          <cell r="D240">
            <v>3</v>
          </cell>
          <cell r="E240" t="str">
            <v>gl</v>
          </cell>
          <cell r="F240">
            <v>1.58</v>
          </cell>
          <cell r="G240">
            <v>4.74</v>
          </cell>
          <cell r="H240">
            <v>0.85319999999999996</v>
          </cell>
          <cell r="I240">
            <v>5.5932000000000004</v>
          </cell>
        </row>
        <row r="241">
          <cell r="A241" t="str">
            <v>P0109018</v>
          </cell>
          <cell r="B241" t="str">
            <v>Auxiliar</v>
          </cell>
          <cell r="C241" t="str">
            <v>Hormigón In Situ fc=120Kg/Cm²  Agreg 3/8@1/2</v>
          </cell>
          <cell r="D241">
            <v>4.5999999999999999E-2</v>
          </cell>
          <cell r="E241" t="str">
            <v>m³</v>
          </cell>
          <cell r="F241">
            <v>4435.2180000000008</v>
          </cell>
          <cell r="G241">
            <v>204.02002800000002</v>
          </cell>
          <cell r="H241">
            <v>25.545605039999995</v>
          </cell>
          <cell r="I241">
            <v>229.56563304000002</v>
          </cell>
        </row>
        <row r="242">
          <cell r="A242" t="str">
            <v>P0401066</v>
          </cell>
          <cell r="B242" t="str">
            <v>Material</v>
          </cell>
          <cell r="C242" t="str">
            <v>Acero G-60, Long. Variable</v>
          </cell>
          <cell r="D242">
            <v>2.9899999999999999E-2</v>
          </cell>
          <cell r="E242" t="str">
            <v>qq</v>
          </cell>
          <cell r="F242">
            <v>2285</v>
          </cell>
          <cell r="G242">
            <v>68.3215</v>
          </cell>
          <cell r="H242">
            <v>12.29787</v>
          </cell>
          <cell r="I242">
            <v>80.619370000000004</v>
          </cell>
        </row>
        <row r="243">
          <cell r="A243" t="str">
            <v>P0418006</v>
          </cell>
          <cell r="B243" t="str">
            <v>Material</v>
          </cell>
          <cell r="C243" t="str">
            <v>Alambre galvanizado liso #18</v>
          </cell>
          <cell r="D243">
            <v>5.9799999999999999E-2</v>
          </cell>
          <cell r="E243" t="str">
            <v>lb</v>
          </cell>
          <cell r="F243">
            <v>42.28</v>
          </cell>
          <cell r="G243">
            <v>2.5283440000000001</v>
          </cell>
          <cell r="H243">
            <v>0.45510191999999999</v>
          </cell>
          <cell r="I243">
            <v>2.9834459200000003</v>
          </cell>
        </row>
        <row r="244">
          <cell r="A244" t="str">
            <v>H0320204</v>
          </cell>
          <cell r="B244" t="str">
            <v>Mano de obra</v>
          </cell>
          <cell r="C244" t="str">
            <v>M.O. Alb colocación bloques de 8" (Inc. Llenado y Acero)</v>
          </cell>
          <cell r="D244">
            <v>13</v>
          </cell>
          <cell r="E244" t="str">
            <v>u</v>
          </cell>
          <cell r="F244">
            <v>16.149999999999999</v>
          </cell>
          <cell r="G244">
            <v>209.95</v>
          </cell>
          <cell r="H244">
            <v>0</v>
          </cell>
          <cell r="I244">
            <v>209.95</v>
          </cell>
        </row>
        <row r="245">
          <cell r="A245" t="str">
            <v>H0325001</v>
          </cell>
          <cell r="B245" t="str">
            <v>Auxiliar</v>
          </cell>
          <cell r="C245" t="str">
            <v>M.O. Resanes de Albañilería p/ Instalaciones</v>
          </cell>
          <cell r="D245">
            <v>1</v>
          </cell>
          <cell r="E245" t="str">
            <v>m²</v>
          </cell>
          <cell r="F245">
            <v>41.172494999999998</v>
          </cell>
          <cell r="G245">
            <v>41.172494999999998</v>
          </cell>
          <cell r="H245">
            <v>0</v>
          </cell>
          <cell r="I245">
            <v>41.172494999999998</v>
          </cell>
        </row>
        <row r="246">
          <cell r="A246" t="str">
            <v>H%FH</v>
          </cell>
          <cell r="B246" t="str">
            <v>Otros</v>
          </cell>
          <cell r="C246" t="str">
            <v>Factor Herramientas</v>
          </cell>
          <cell r="D246">
            <v>1</v>
          </cell>
          <cell r="E246" t="str">
            <v>%</v>
          </cell>
          <cell r="F246">
            <v>41.172494999999998</v>
          </cell>
          <cell r="G246">
            <v>0.41172494999999998</v>
          </cell>
          <cell r="H246">
            <v>0</v>
          </cell>
          <cell r="I246">
            <v>0.41172494999999998</v>
          </cell>
        </row>
        <row r="247">
          <cell r="A247">
            <v>0</v>
          </cell>
          <cell r="B247">
            <v>0</v>
          </cell>
          <cell r="C247" t="str">
            <v>Total 01.04.13</v>
          </cell>
          <cell r="D247">
            <v>1</v>
          </cell>
          <cell r="E247">
            <v>0</v>
          </cell>
          <cell r="F247">
            <v>0</v>
          </cell>
          <cell r="G247">
            <v>1104.47590195</v>
          </cell>
          <cell r="H247">
            <v>142.35150275999999</v>
          </cell>
          <cell r="I247">
            <v>1246.8274047100001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01.04.14</v>
          </cell>
          <cell r="B249" t="str">
            <v>Partida</v>
          </cell>
          <cell r="C249" t="str">
            <v>Bloques Texturizados de 8" SNP Ø 3/8@ 0.60</v>
          </cell>
          <cell r="D249">
            <v>1</v>
          </cell>
          <cell r="E249" t="str">
            <v>m²</v>
          </cell>
          <cell r="F249">
            <v>0</v>
          </cell>
          <cell r="G249">
            <v>1064.991182</v>
          </cell>
          <cell r="H249">
            <v>142.35150275999999</v>
          </cell>
          <cell r="I249">
            <v>1207.3426847600001</v>
          </cell>
        </row>
        <row r="250">
          <cell r="A250" t="str">
            <v>P1805012</v>
          </cell>
          <cell r="B250" t="str">
            <v>Material</v>
          </cell>
          <cell r="C250" t="str">
            <v>Bloque de hormigón de 8"</v>
          </cell>
          <cell r="D250">
            <v>13.125</v>
          </cell>
          <cell r="E250" t="str">
            <v>u</v>
          </cell>
          <cell r="F250">
            <v>29.97</v>
          </cell>
          <cell r="G250">
            <v>393.35624999999999</v>
          </cell>
          <cell r="H250">
            <v>70.804124999999999</v>
          </cell>
          <cell r="I250">
            <v>464.16037499999999</v>
          </cell>
        </row>
        <row r="251">
          <cell r="A251" t="str">
            <v>P0201008</v>
          </cell>
          <cell r="B251" t="str">
            <v>Material</v>
          </cell>
          <cell r="C251" t="str">
            <v>Arena Itabo Lavada</v>
          </cell>
          <cell r="D251">
            <v>5.6000000000000001E-2</v>
          </cell>
          <cell r="E251" t="str">
            <v>m³</v>
          </cell>
          <cell r="F251">
            <v>930.76</v>
          </cell>
          <cell r="G251">
            <v>52.12256</v>
          </cell>
          <cell r="H251">
            <v>9.3820607999999996</v>
          </cell>
          <cell r="I251">
            <v>61.504620799999998</v>
          </cell>
        </row>
        <row r="252">
          <cell r="A252" t="str">
            <v>P0601003</v>
          </cell>
          <cell r="B252" t="str">
            <v>Material</v>
          </cell>
          <cell r="C252" t="str">
            <v>Cemento Gris 94 lbs. Tipo Portland</v>
          </cell>
          <cell r="D252">
            <v>0.43340000000000001</v>
          </cell>
          <cell r="E252" t="str">
            <v>fd</v>
          </cell>
          <cell r="F252">
            <v>295</v>
          </cell>
          <cell r="G252">
            <v>127.85300000000001</v>
          </cell>
          <cell r="H252">
            <v>23.013539999999999</v>
          </cell>
          <cell r="I252">
            <v>150.86654000000001</v>
          </cell>
        </row>
        <row r="253">
          <cell r="A253" t="str">
            <v>P2403199</v>
          </cell>
          <cell r="B253" t="str">
            <v>Material</v>
          </cell>
          <cell r="C253" t="str">
            <v>Agua</v>
          </cell>
          <cell r="D253">
            <v>3</v>
          </cell>
          <cell r="E253" t="str">
            <v>gl</v>
          </cell>
          <cell r="F253">
            <v>1.58</v>
          </cell>
          <cell r="G253">
            <v>4.74</v>
          </cell>
          <cell r="H253">
            <v>0.85319999999999996</v>
          </cell>
          <cell r="I253">
            <v>5.5932000000000004</v>
          </cell>
        </row>
        <row r="254">
          <cell r="A254" t="str">
            <v>P0109018</v>
          </cell>
          <cell r="B254" t="str">
            <v>Auxiliar</v>
          </cell>
          <cell r="C254" t="str">
            <v>Hormigón In Situ fc=120Kg/Cm²  Agreg 3/8@1/2</v>
          </cell>
          <cell r="D254">
            <v>4.5999999999999999E-2</v>
          </cell>
          <cell r="E254" t="str">
            <v>m³</v>
          </cell>
          <cell r="F254">
            <v>4435.2180000000008</v>
          </cell>
          <cell r="G254">
            <v>204.02002800000002</v>
          </cell>
          <cell r="H254">
            <v>25.545605039999995</v>
          </cell>
          <cell r="I254">
            <v>229.56563304000002</v>
          </cell>
        </row>
        <row r="255">
          <cell r="A255" t="str">
            <v>P0401066</v>
          </cell>
          <cell r="B255" t="str">
            <v>Material</v>
          </cell>
          <cell r="C255" t="str">
            <v>Acero G-60, Long. Variable</v>
          </cell>
          <cell r="D255">
            <v>2.9899999999999999E-2</v>
          </cell>
          <cell r="E255" t="str">
            <v>qq</v>
          </cell>
          <cell r="F255">
            <v>2285</v>
          </cell>
          <cell r="G255">
            <v>68.3215</v>
          </cell>
          <cell r="H255">
            <v>12.29787</v>
          </cell>
          <cell r="I255">
            <v>80.619370000000004</v>
          </cell>
        </row>
        <row r="256">
          <cell r="A256" t="str">
            <v>P0418006</v>
          </cell>
          <cell r="B256" t="str">
            <v>Material</v>
          </cell>
          <cell r="C256" t="str">
            <v>Alambre galvanizado liso #18</v>
          </cell>
          <cell r="D256">
            <v>5.9799999999999999E-2</v>
          </cell>
          <cell r="E256" t="str">
            <v>lb</v>
          </cell>
          <cell r="F256">
            <v>42.28</v>
          </cell>
          <cell r="G256">
            <v>2.5283440000000001</v>
          </cell>
          <cell r="H256">
            <v>0.45510191999999999</v>
          </cell>
          <cell r="I256">
            <v>2.9834459200000003</v>
          </cell>
        </row>
        <row r="257">
          <cell r="A257" t="str">
            <v>H0320204</v>
          </cell>
          <cell r="B257" t="str">
            <v>Mano de obra</v>
          </cell>
          <cell r="C257" t="str">
            <v>M.O. Alb colocación bloques de 8" (Inc. Llenado y Acero)</v>
          </cell>
          <cell r="D257">
            <v>13</v>
          </cell>
          <cell r="E257" t="str">
            <v>u</v>
          </cell>
          <cell r="F257">
            <v>16.149999999999999</v>
          </cell>
          <cell r="G257">
            <v>209.95</v>
          </cell>
          <cell r="H257">
            <v>0</v>
          </cell>
          <cell r="I257">
            <v>209.95</v>
          </cell>
        </row>
        <row r="258">
          <cell r="A258" t="str">
            <v>H%FH</v>
          </cell>
          <cell r="B258" t="str">
            <v>Otros</v>
          </cell>
          <cell r="C258" t="str">
            <v>Factor Herramientas</v>
          </cell>
          <cell r="D258">
            <v>1</v>
          </cell>
          <cell r="E258" t="str">
            <v>%</v>
          </cell>
          <cell r="F258">
            <v>209.95</v>
          </cell>
          <cell r="G258">
            <v>2.0994999999999999</v>
          </cell>
          <cell r="H258">
            <v>0</v>
          </cell>
          <cell r="I258">
            <v>2.0994999999999999</v>
          </cell>
        </row>
        <row r="259">
          <cell r="A259">
            <v>0</v>
          </cell>
          <cell r="B259">
            <v>0</v>
          </cell>
          <cell r="C259" t="str">
            <v>Total 01.04.14</v>
          </cell>
          <cell r="D259">
            <v>1</v>
          </cell>
          <cell r="E259">
            <v>0</v>
          </cell>
          <cell r="F259">
            <v>0</v>
          </cell>
          <cell r="G259">
            <v>1064.991182</v>
          </cell>
          <cell r="H259">
            <v>142.35150275999999</v>
          </cell>
          <cell r="I259">
            <v>1207.3426847600001</v>
          </cell>
        </row>
        <row r="260">
          <cell r="A260" t="str">
            <v>01.04.15</v>
          </cell>
          <cell r="B260" t="str">
            <v>Partida</v>
          </cell>
          <cell r="C260" t="str">
            <v>Bloques de 4" SNP 3/8@ 0.40mt</v>
          </cell>
          <cell r="D260">
            <v>1</v>
          </cell>
          <cell r="E260" t="str">
            <v>m²</v>
          </cell>
          <cell r="F260">
            <v>0</v>
          </cell>
          <cell r="G260">
            <v>764.31819039999993</v>
          </cell>
          <cell r="H260">
            <v>82.206524159999987</v>
          </cell>
          <cell r="I260">
            <v>846.52471456000001</v>
          </cell>
        </row>
        <row r="261">
          <cell r="A261" t="str">
            <v>P1805010</v>
          </cell>
          <cell r="B261" t="str">
            <v>Material</v>
          </cell>
          <cell r="C261" t="str">
            <v>Bloque de hormigón de 4"</v>
          </cell>
          <cell r="D261">
            <v>14.375</v>
          </cell>
          <cell r="E261" t="str">
            <v>u</v>
          </cell>
          <cell r="F261">
            <v>22.88</v>
          </cell>
          <cell r="G261">
            <v>328.9</v>
          </cell>
          <cell r="H261">
            <v>59.201999999999991</v>
          </cell>
          <cell r="I261">
            <v>388.10199999999998</v>
          </cell>
        </row>
        <row r="262">
          <cell r="A262" t="str">
            <v>P0201008</v>
          </cell>
          <cell r="B262" t="str">
            <v>Material</v>
          </cell>
          <cell r="C262" t="str">
            <v>Arena Itabo Lavada</v>
          </cell>
          <cell r="D262">
            <v>1.34E-2</v>
          </cell>
          <cell r="E262" t="str">
            <v>m³</v>
          </cell>
          <cell r="F262">
            <v>930.76</v>
          </cell>
          <cell r="G262">
            <v>12.472184</v>
          </cell>
          <cell r="H262">
            <v>2.2449931200000002</v>
          </cell>
          <cell r="I262">
            <v>14.717177120000001</v>
          </cell>
        </row>
        <row r="263">
          <cell r="A263" t="str">
            <v>P0601003</v>
          </cell>
          <cell r="B263" t="str">
            <v>Material</v>
          </cell>
          <cell r="C263" t="str">
            <v>Cemento Gris 94 lbs. Tipo Portland</v>
          </cell>
          <cell r="D263">
            <v>0.11559999999999999</v>
          </cell>
          <cell r="E263" t="str">
            <v>fd</v>
          </cell>
          <cell r="F263">
            <v>295</v>
          </cell>
          <cell r="G263">
            <v>34.101999999999997</v>
          </cell>
          <cell r="H263">
            <v>6.1383599999999996</v>
          </cell>
          <cell r="I263">
            <v>40.240359999999995</v>
          </cell>
        </row>
        <row r="264">
          <cell r="A264" t="str">
            <v>P2403199</v>
          </cell>
          <cell r="B264" t="str">
            <v>Material</v>
          </cell>
          <cell r="C264" t="str">
            <v>Agua</v>
          </cell>
          <cell r="D264">
            <v>0.72</v>
          </cell>
          <cell r="E264" t="str">
            <v>gl</v>
          </cell>
          <cell r="F264">
            <v>1.58</v>
          </cell>
          <cell r="G264">
            <v>1.1375999999999999</v>
          </cell>
          <cell r="H264">
            <v>0.20476799999999998</v>
          </cell>
          <cell r="I264">
            <v>1.342368</v>
          </cell>
        </row>
        <row r="265">
          <cell r="A265" t="str">
            <v>P0109018</v>
          </cell>
          <cell r="B265" t="str">
            <v>Auxiliar</v>
          </cell>
          <cell r="C265" t="str">
            <v>Hormigón In Situ fc=120Kg/Cm²  Agreg 3/8@1/2</v>
          </cell>
          <cell r="D265">
            <v>2.8799999999999999E-2</v>
          </cell>
          <cell r="E265" t="str">
            <v>m³</v>
          </cell>
          <cell r="F265">
            <v>4435.2180000000008</v>
          </cell>
          <cell r="G265">
            <v>127.73427840000002</v>
          </cell>
          <cell r="H265">
            <v>0</v>
          </cell>
          <cell r="I265">
            <v>127.73427840000002</v>
          </cell>
        </row>
        <row r="266">
          <cell r="A266" t="str">
            <v>P0401066</v>
          </cell>
          <cell r="B266" t="str">
            <v>Material</v>
          </cell>
          <cell r="C266" t="str">
            <v>Acero G-60, Long. Variable</v>
          </cell>
          <cell r="D266">
            <v>3.3799999999999997E-2</v>
          </cell>
          <cell r="E266" t="str">
            <v>qq</v>
          </cell>
          <cell r="F266">
            <v>2285</v>
          </cell>
          <cell r="G266">
            <v>77.23299999999999</v>
          </cell>
          <cell r="H266">
            <v>13.901939999999998</v>
          </cell>
          <cell r="I266">
            <v>91.134939999999986</v>
          </cell>
        </row>
        <row r="267">
          <cell r="A267" t="str">
            <v>P0418006</v>
          </cell>
          <cell r="B267" t="str">
            <v>Material</v>
          </cell>
          <cell r="C267" t="str">
            <v>Alambre galvanizado liso #18</v>
          </cell>
          <cell r="D267">
            <v>6.7599999999999993E-2</v>
          </cell>
          <cell r="E267" t="str">
            <v>lb</v>
          </cell>
          <cell r="F267">
            <v>42.28</v>
          </cell>
          <cell r="G267">
            <v>2.8581279999999998</v>
          </cell>
          <cell r="H267">
            <v>0.51446303999999998</v>
          </cell>
          <cell r="I267">
            <v>3.3725910399999997</v>
          </cell>
        </row>
        <row r="268">
          <cell r="A268" t="str">
            <v>H0320202</v>
          </cell>
          <cell r="B268" t="str">
            <v>Mano de obra</v>
          </cell>
          <cell r="C268" t="str">
            <v>M.O. Alb colocación bloques de 4" (Inc. Llenado y Acero)</v>
          </cell>
          <cell r="D268">
            <v>13</v>
          </cell>
          <cell r="E268" t="str">
            <v>u</v>
          </cell>
          <cell r="F268">
            <v>13.7</v>
          </cell>
          <cell r="G268">
            <v>178.1</v>
          </cell>
          <cell r="H268">
            <v>0</v>
          </cell>
          <cell r="I268">
            <v>178.1</v>
          </cell>
        </row>
        <row r="269">
          <cell r="A269" t="str">
            <v>H%FH</v>
          </cell>
          <cell r="B269" t="str">
            <v>Otros</v>
          </cell>
          <cell r="C269" t="str">
            <v>Factor Herramientas</v>
          </cell>
          <cell r="D269">
            <v>1</v>
          </cell>
          <cell r="E269" t="str">
            <v>%</v>
          </cell>
          <cell r="F269">
            <v>178.1</v>
          </cell>
          <cell r="G269">
            <v>1.7809999999999999</v>
          </cell>
          <cell r="H269">
            <v>0</v>
          </cell>
          <cell r="I269">
            <v>1.7809999999999999</v>
          </cell>
        </row>
        <row r="270">
          <cell r="A270">
            <v>0</v>
          </cell>
          <cell r="B270">
            <v>0</v>
          </cell>
          <cell r="C270" t="str">
            <v>Total 01.04.15</v>
          </cell>
          <cell r="D270">
            <v>1</v>
          </cell>
          <cell r="E270">
            <v>0</v>
          </cell>
          <cell r="F270">
            <v>0</v>
          </cell>
          <cell r="G270">
            <v>764.31819039999993</v>
          </cell>
          <cell r="H270">
            <v>82.206524159999987</v>
          </cell>
          <cell r="I270">
            <v>846.52471456000001</v>
          </cell>
        </row>
        <row r="271">
          <cell r="A271" t="str">
            <v>01.04.16</v>
          </cell>
          <cell r="B271" t="str">
            <v>Partida</v>
          </cell>
          <cell r="C271" t="str">
            <v>Bloques de 6" BNP y SNP Ø 3/8 @ 0.40 con serpentina 2Ø3/8 cada 3 lineas</v>
          </cell>
          <cell r="D271">
            <v>1</v>
          </cell>
          <cell r="E271" t="str">
            <v>m²</v>
          </cell>
          <cell r="F271">
            <v>0</v>
          </cell>
          <cell r="G271">
            <v>1263.2923244159999</v>
          </cell>
          <cell r="H271">
            <v>117.20740831488</v>
          </cell>
          <cell r="I271">
            <v>1380.4997327308799</v>
          </cell>
        </row>
        <row r="272">
          <cell r="A272" t="str">
            <v>P1805011</v>
          </cell>
          <cell r="B272" t="str">
            <v>Material</v>
          </cell>
          <cell r="C272" t="str">
            <v>Bloque de hormigón de 6"</v>
          </cell>
          <cell r="D272">
            <v>13.125</v>
          </cell>
          <cell r="E272" t="str">
            <v>u</v>
          </cell>
          <cell r="F272">
            <v>23.52</v>
          </cell>
          <cell r="G272">
            <v>308.7</v>
          </cell>
          <cell r="H272">
            <v>55.565999999999995</v>
          </cell>
          <cell r="I272">
            <v>364.26599999999996</v>
          </cell>
        </row>
        <row r="273">
          <cell r="A273" t="str">
            <v>P0201008</v>
          </cell>
          <cell r="B273" t="str">
            <v>Material</v>
          </cell>
          <cell r="C273" t="str">
            <v>Arena Itabo Lavada</v>
          </cell>
          <cell r="D273">
            <v>3.49E-2</v>
          </cell>
          <cell r="E273" t="str">
            <v>m³</v>
          </cell>
          <cell r="F273">
            <v>930.76</v>
          </cell>
          <cell r="G273">
            <v>32.483524000000003</v>
          </cell>
          <cell r="H273">
            <v>5.8470343200000006</v>
          </cell>
          <cell r="I273">
            <v>38.330558320000002</v>
          </cell>
        </row>
        <row r="274">
          <cell r="A274" t="str">
            <v>P0601003</v>
          </cell>
          <cell r="B274" t="str">
            <v>Material</v>
          </cell>
          <cell r="C274" t="str">
            <v>Cemento Gris 94 lbs. Tipo Portland</v>
          </cell>
          <cell r="D274">
            <v>0.30049999999999999</v>
          </cell>
          <cell r="E274" t="str">
            <v>fd</v>
          </cell>
          <cell r="F274">
            <v>295</v>
          </cell>
          <cell r="G274">
            <v>88.647499999999994</v>
          </cell>
          <cell r="H274">
            <v>15.956549999999998</v>
          </cell>
          <cell r="I274">
            <v>104.60404999999999</v>
          </cell>
        </row>
        <row r="275">
          <cell r="A275" t="str">
            <v>P2403199</v>
          </cell>
          <cell r="B275" t="str">
            <v>Material</v>
          </cell>
          <cell r="C275" t="str">
            <v>Agua</v>
          </cell>
          <cell r="D275">
            <v>1.8720000000000001</v>
          </cell>
          <cell r="E275" t="str">
            <v>gl</v>
          </cell>
          <cell r="F275">
            <v>1.58</v>
          </cell>
          <cell r="G275">
            <v>2.9577600000000004</v>
          </cell>
          <cell r="H275">
            <v>0.5323968</v>
          </cell>
          <cell r="I275">
            <v>3.4901568000000003</v>
          </cell>
        </row>
        <row r="276">
          <cell r="A276" t="str">
            <v>P0109018</v>
          </cell>
          <cell r="B276" t="str">
            <v>Auxiliar</v>
          </cell>
          <cell r="C276" t="str">
            <v>Hormigón In Situ fc=120Kg/Cm²  Agreg 3/8@1/2</v>
          </cell>
          <cell r="D276">
            <v>9.1999999999999998E-2</v>
          </cell>
          <cell r="E276" t="str">
            <v>m³</v>
          </cell>
          <cell r="F276">
            <v>4435.2180000000008</v>
          </cell>
          <cell r="G276">
            <v>408.04005600000005</v>
          </cell>
          <cell r="H276">
            <v>0</v>
          </cell>
          <cell r="I276">
            <v>408.04005600000005</v>
          </cell>
        </row>
        <row r="277">
          <cell r="A277" t="str">
            <v>P0401066</v>
          </cell>
          <cell r="B277" t="str">
            <v>Material</v>
          </cell>
          <cell r="C277" t="str">
            <v>Acero G-60, Long. Variable</v>
          </cell>
          <cell r="D277">
            <v>9.2153600000000016E-2</v>
          </cell>
          <cell r="E277" t="str">
            <v>qq</v>
          </cell>
          <cell r="F277">
            <v>2285</v>
          </cell>
          <cell r="G277">
            <v>210.57097600000003</v>
          </cell>
          <cell r="H277">
            <v>37.902775680000005</v>
          </cell>
          <cell r="I277">
            <v>248.47375168000002</v>
          </cell>
        </row>
        <row r="278">
          <cell r="A278" t="str">
            <v>P0418006</v>
          </cell>
          <cell r="B278" t="str">
            <v>Material</v>
          </cell>
          <cell r="C278" t="str">
            <v>Alambre galvanizado liso #18</v>
          </cell>
          <cell r="D278">
            <v>0.18430720000000003</v>
          </cell>
          <cell r="E278" t="str">
            <v>lb</v>
          </cell>
          <cell r="F278">
            <v>42.28</v>
          </cell>
          <cell r="G278">
            <v>7.7925084160000013</v>
          </cell>
          <cell r="H278">
            <v>1.4026515148800003</v>
          </cell>
          <cell r="I278">
            <v>9.1951599308800009</v>
          </cell>
        </row>
        <row r="279">
          <cell r="A279" t="str">
            <v>H0320201</v>
          </cell>
          <cell r="B279" t="str">
            <v>Mano de obra</v>
          </cell>
          <cell r="C279" t="str">
            <v>M.O. Alb. Colocación Bloques de 6" (Inc. Llenado y Acero)</v>
          </cell>
          <cell r="D279">
            <v>13</v>
          </cell>
          <cell r="E279" t="str">
            <v>u</v>
          </cell>
          <cell r="F279">
            <v>15.7</v>
          </cell>
          <cell r="G279">
            <v>204.1</v>
          </cell>
          <cell r="H279">
            <v>0</v>
          </cell>
          <cell r="I279">
            <v>204.1</v>
          </cell>
        </row>
        <row r="280">
          <cell r="A280" t="str">
            <v>H0325001</v>
          </cell>
          <cell r="B280" t="str">
            <v>Auxiliar</v>
          </cell>
          <cell r="C280" t="str">
            <v>M.O. Resanes de Albañilería p/ Instalaciones</v>
          </cell>
          <cell r="D280">
            <v>1</v>
          </cell>
          <cell r="E280" t="str">
            <v>m²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H%FH</v>
          </cell>
          <cell r="B281" t="str">
            <v>Otros</v>
          </cell>
          <cell r="C281" t="str">
            <v>Factor Herramientas</v>
          </cell>
          <cell r="D281">
            <v>1</v>
          </cell>
          <cell r="E281" t="str">
            <v>%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0</v>
          </cell>
          <cell r="B282">
            <v>0</v>
          </cell>
          <cell r="C282" t="str">
            <v>Total 01.04.16</v>
          </cell>
          <cell r="D282">
            <v>1</v>
          </cell>
          <cell r="E282">
            <v>0</v>
          </cell>
          <cell r="F282">
            <v>0</v>
          </cell>
          <cell r="G282">
            <v>1263.2923244159999</v>
          </cell>
          <cell r="H282">
            <v>117.20740831488</v>
          </cell>
          <cell r="I282">
            <v>1380.4997327308799</v>
          </cell>
        </row>
        <row r="283">
          <cell r="A283" t="str">
            <v>01.04.17</v>
          </cell>
          <cell r="B283" t="str">
            <v>Partida</v>
          </cell>
          <cell r="C283" t="str">
            <v>Bloques de 8" BNP Ø 3/8@ 0.20mt cámaras llenas con serpentina @0.40mt</v>
          </cell>
          <cell r="D283">
            <v>1</v>
          </cell>
          <cell r="E283" t="str">
            <v>m²</v>
          </cell>
          <cell r="F283">
            <v>0</v>
          </cell>
          <cell r="G283">
            <v>1634.9916629440002</v>
          </cell>
          <cell r="H283">
            <v>168.79127647391999</v>
          </cell>
          <cell r="I283">
            <v>1803.7829394179203</v>
          </cell>
        </row>
        <row r="284">
          <cell r="A284" t="str">
            <v>P1805012</v>
          </cell>
          <cell r="B284" t="str">
            <v>Material</v>
          </cell>
          <cell r="C284" t="str">
            <v>Bloque de hormigón de 8"</v>
          </cell>
          <cell r="D284">
            <v>13.125</v>
          </cell>
          <cell r="E284" t="str">
            <v>u</v>
          </cell>
          <cell r="F284">
            <v>29.97</v>
          </cell>
          <cell r="G284">
            <v>393.35624999999999</v>
          </cell>
          <cell r="H284">
            <v>70.804124999999999</v>
          </cell>
          <cell r="I284">
            <v>464.16037499999999</v>
          </cell>
        </row>
        <row r="285">
          <cell r="A285" t="str">
            <v>P0201008</v>
          </cell>
          <cell r="B285" t="str">
            <v>Material</v>
          </cell>
          <cell r="C285" t="str">
            <v>Arena Itabo Lavada</v>
          </cell>
          <cell r="D285">
            <v>5.6000000000000001E-2</v>
          </cell>
          <cell r="E285" t="str">
            <v>m³</v>
          </cell>
          <cell r="F285">
            <v>930.76</v>
          </cell>
          <cell r="G285">
            <v>52.12256</v>
          </cell>
          <cell r="H285">
            <v>9.3820607999999996</v>
          </cell>
          <cell r="I285">
            <v>61.504620799999998</v>
          </cell>
        </row>
        <row r="286">
          <cell r="A286" t="str">
            <v>P0601003</v>
          </cell>
          <cell r="B286" t="str">
            <v>Material</v>
          </cell>
          <cell r="C286" t="str">
            <v>Cemento Gris 94 lbs. Tipo Portland</v>
          </cell>
          <cell r="D286">
            <v>0.43340000000000001</v>
          </cell>
          <cell r="E286" t="str">
            <v>fd</v>
          </cell>
          <cell r="F286">
            <v>295</v>
          </cell>
          <cell r="G286">
            <v>127.85300000000001</v>
          </cell>
          <cell r="H286">
            <v>23.013539999999999</v>
          </cell>
          <cell r="I286">
            <v>150.86654000000001</v>
          </cell>
        </row>
        <row r="287">
          <cell r="A287" t="str">
            <v>P2403199</v>
          </cell>
          <cell r="B287" t="str">
            <v>Material</v>
          </cell>
          <cell r="C287" t="str">
            <v>Agua</v>
          </cell>
          <cell r="D287">
            <v>3</v>
          </cell>
          <cell r="E287" t="str">
            <v>gl</v>
          </cell>
          <cell r="F287">
            <v>1.58</v>
          </cell>
          <cell r="G287">
            <v>4.74</v>
          </cell>
          <cell r="H287">
            <v>0.85319999999999996</v>
          </cell>
          <cell r="I287">
            <v>5.5932000000000004</v>
          </cell>
        </row>
        <row r="288">
          <cell r="A288" t="str">
            <v>P0109018</v>
          </cell>
          <cell r="B288" t="str">
            <v>Auxiliar</v>
          </cell>
          <cell r="C288" t="str">
            <v>Hormigón In Situ fc=120Kg/Cm²  Agreg 3/8@1/2</v>
          </cell>
          <cell r="D288">
            <v>0.1094</v>
          </cell>
          <cell r="E288" t="str">
            <v>m³</v>
          </cell>
          <cell r="F288">
            <v>4435.2180000000008</v>
          </cell>
          <cell r="G288">
            <v>485.21284920000005</v>
          </cell>
          <cell r="H288">
            <v>0</v>
          </cell>
          <cell r="I288">
            <v>485.21284920000005</v>
          </cell>
        </row>
        <row r="289">
          <cell r="A289" t="str">
            <v>P0401066</v>
          </cell>
          <cell r="B289" t="str">
            <v>Material</v>
          </cell>
          <cell r="C289" t="str">
            <v>Acero G-60, Long. Variable</v>
          </cell>
          <cell r="D289">
            <v>0.15178240000000001</v>
          </cell>
          <cell r="E289" t="str">
            <v>qq</v>
          </cell>
          <cell r="F289">
            <v>2285</v>
          </cell>
          <cell r="G289">
            <v>346.82278400000001</v>
          </cell>
          <cell r="H289">
            <v>62.428101120000001</v>
          </cell>
          <cell r="I289">
            <v>409.25088512000002</v>
          </cell>
        </row>
        <row r="290">
          <cell r="A290" t="str">
            <v>P0418006</v>
          </cell>
          <cell r="B290" t="str">
            <v>Material</v>
          </cell>
          <cell r="C290" t="str">
            <v>Alambre galvanizado liso #18</v>
          </cell>
          <cell r="D290">
            <v>0.30356480000000002</v>
          </cell>
          <cell r="E290" t="str">
            <v>lb</v>
          </cell>
          <cell r="F290">
            <v>42.28</v>
          </cell>
          <cell r="G290">
            <v>12.834719744000001</v>
          </cell>
          <cell r="H290">
            <v>2.3102495539199999</v>
          </cell>
          <cell r="I290">
            <v>15.144969297920001</v>
          </cell>
        </row>
        <row r="291">
          <cell r="A291" t="str">
            <v>H0320204</v>
          </cell>
          <cell r="B291" t="str">
            <v>Mano de obra</v>
          </cell>
          <cell r="C291" t="str">
            <v>M.O. Alb colocación bloques de 8" (Inc. Llenado y Acero)</v>
          </cell>
          <cell r="D291">
            <v>13</v>
          </cell>
          <cell r="E291" t="str">
            <v>u</v>
          </cell>
          <cell r="F291">
            <v>16.149999999999999</v>
          </cell>
          <cell r="G291">
            <v>209.95</v>
          </cell>
          <cell r="H291">
            <v>0</v>
          </cell>
          <cell r="I291">
            <v>209.95</v>
          </cell>
        </row>
        <row r="292">
          <cell r="A292" t="str">
            <v>H%FH</v>
          </cell>
          <cell r="B292" t="str">
            <v>Otros</v>
          </cell>
          <cell r="C292" t="str">
            <v>Factor Herramientas</v>
          </cell>
          <cell r="D292">
            <v>1</v>
          </cell>
          <cell r="E292" t="str">
            <v>%</v>
          </cell>
          <cell r="F292">
            <v>209.95</v>
          </cell>
          <cell r="G292">
            <v>2.0994999999999999</v>
          </cell>
          <cell r="H292">
            <v>0</v>
          </cell>
          <cell r="I292">
            <v>2.0994999999999999</v>
          </cell>
        </row>
        <row r="293">
          <cell r="A293">
            <v>0</v>
          </cell>
          <cell r="B293">
            <v>0</v>
          </cell>
          <cell r="C293" t="str">
            <v>Total 01.04.17</v>
          </cell>
          <cell r="D293">
            <v>1</v>
          </cell>
          <cell r="E293">
            <v>0</v>
          </cell>
          <cell r="F293">
            <v>0</v>
          </cell>
          <cell r="G293">
            <v>1634.9916629440002</v>
          </cell>
          <cell r="H293">
            <v>168.79127647391999</v>
          </cell>
          <cell r="I293">
            <v>1803.7829394179203</v>
          </cell>
        </row>
        <row r="294">
          <cell r="A294" t="str">
            <v>01.04.18</v>
          </cell>
          <cell r="B294" t="str">
            <v>Partida</v>
          </cell>
          <cell r="C294" t="str">
            <v>Bloques de 8" BNP y SNP Ø 3/8 @ 0.20 con serpentina 2Ø3/8 cada 3 lineas</v>
          </cell>
          <cell r="D294">
            <v>1</v>
          </cell>
          <cell r="E294" t="str">
            <v>m²</v>
          </cell>
          <cell r="F294">
            <v>0</v>
          </cell>
          <cell r="G294">
            <v>1570.7671087040001</v>
          </cell>
          <cell r="H294">
            <v>157.23085671071999</v>
          </cell>
          <cell r="I294">
            <v>1727.9979654147203</v>
          </cell>
        </row>
        <row r="295">
          <cell r="A295" t="str">
            <v>P1805012</v>
          </cell>
          <cell r="B295" t="str">
            <v>Material</v>
          </cell>
          <cell r="C295" t="str">
            <v>Bloque de hormigón de 8"</v>
          </cell>
          <cell r="D295">
            <v>13.125</v>
          </cell>
          <cell r="E295" t="str">
            <v>u</v>
          </cell>
          <cell r="F295">
            <v>29.97</v>
          </cell>
          <cell r="G295">
            <v>393.35624999999999</v>
          </cell>
          <cell r="H295">
            <v>70.804124999999999</v>
          </cell>
          <cell r="I295">
            <v>464.16037499999999</v>
          </cell>
        </row>
        <row r="296">
          <cell r="A296" t="str">
            <v>P0201008</v>
          </cell>
          <cell r="B296" t="str">
            <v>Material</v>
          </cell>
          <cell r="C296" t="str">
            <v>Arena Itabo Lavada</v>
          </cell>
          <cell r="D296">
            <v>5.6000000000000001E-2</v>
          </cell>
          <cell r="E296" t="str">
            <v>m³</v>
          </cell>
          <cell r="F296">
            <v>930.76</v>
          </cell>
          <cell r="G296">
            <v>52.12256</v>
          </cell>
          <cell r="H296">
            <v>9.3820607999999996</v>
          </cell>
          <cell r="I296">
            <v>61.504620799999998</v>
          </cell>
        </row>
        <row r="297">
          <cell r="A297" t="str">
            <v>P0601003</v>
          </cell>
          <cell r="B297" t="str">
            <v>Material</v>
          </cell>
          <cell r="C297" t="str">
            <v>Cemento Gris 94 lbs. Tipo Portland</v>
          </cell>
          <cell r="D297">
            <v>0.43340000000000001</v>
          </cell>
          <cell r="E297" t="str">
            <v>fd</v>
          </cell>
          <cell r="F297">
            <v>295</v>
          </cell>
          <cell r="G297">
            <v>127.85300000000001</v>
          </cell>
          <cell r="H297">
            <v>23.013539999999999</v>
          </cell>
          <cell r="I297">
            <v>150.86654000000001</v>
          </cell>
        </row>
        <row r="298">
          <cell r="A298" t="str">
            <v>P2403199</v>
          </cell>
          <cell r="B298" t="str">
            <v>Material</v>
          </cell>
          <cell r="C298" t="str">
            <v>Agua</v>
          </cell>
          <cell r="D298">
            <v>3</v>
          </cell>
          <cell r="E298" t="str">
            <v>gl</v>
          </cell>
          <cell r="F298">
            <v>1.58</v>
          </cell>
          <cell r="G298">
            <v>4.74</v>
          </cell>
          <cell r="H298">
            <v>0.85319999999999996</v>
          </cell>
          <cell r="I298">
            <v>5.5932000000000004</v>
          </cell>
        </row>
        <row r="299">
          <cell r="A299" t="str">
            <v>P0109018</v>
          </cell>
          <cell r="B299" t="str">
            <v>Auxiliar</v>
          </cell>
          <cell r="C299" t="str">
            <v>Hormigón In Situ fc=120Kg/Cm²  Agreg 3/8@1/2</v>
          </cell>
          <cell r="D299">
            <v>0.1094</v>
          </cell>
          <cell r="E299" t="str">
            <v>m³</v>
          </cell>
          <cell r="F299">
            <v>4435.2180000000008</v>
          </cell>
          <cell r="G299">
            <v>485.21284920000005</v>
          </cell>
          <cell r="H299">
            <v>0</v>
          </cell>
          <cell r="I299">
            <v>485.21284920000005</v>
          </cell>
        </row>
        <row r="300">
          <cell r="A300" t="str">
            <v>P0401066</v>
          </cell>
          <cell r="B300" t="str">
            <v>Material</v>
          </cell>
          <cell r="C300" t="str">
            <v>Acero G-60, Long. Variable</v>
          </cell>
          <cell r="D300">
            <v>0.12467839999999999</v>
          </cell>
          <cell r="E300" t="str">
            <v>qq</v>
          </cell>
          <cell r="F300">
            <v>2285</v>
          </cell>
          <cell r="G300">
            <v>284.89014399999996</v>
          </cell>
          <cell r="H300">
            <v>51.280225919999992</v>
          </cell>
          <cell r="I300">
            <v>336.17036991999998</v>
          </cell>
        </row>
        <row r="301">
          <cell r="A301" t="str">
            <v>P0418006</v>
          </cell>
          <cell r="B301" t="str">
            <v>Material</v>
          </cell>
          <cell r="C301" t="str">
            <v>Alambre galvanizado liso #18</v>
          </cell>
          <cell r="D301">
            <v>0.24935679999999999</v>
          </cell>
          <cell r="E301" t="str">
            <v>lb</v>
          </cell>
          <cell r="F301">
            <v>42.28</v>
          </cell>
          <cell r="G301">
            <v>10.542805504</v>
          </cell>
          <cell r="H301">
            <v>1.8977049907200001</v>
          </cell>
          <cell r="I301">
            <v>12.44051049472</v>
          </cell>
        </row>
        <row r="302">
          <cell r="A302" t="str">
            <v>H0320204</v>
          </cell>
          <cell r="B302" t="str">
            <v>Mano de obra</v>
          </cell>
          <cell r="C302" t="str">
            <v>M.O. Alb colocación bloques de 8" (Inc. Llenado y Acero)</v>
          </cell>
          <cell r="D302">
            <v>13</v>
          </cell>
          <cell r="E302" t="str">
            <v>u</v>
          </cell>
          <cell r="F302">
            <v>16.149999999999999</v>
          </cell>
          <cell r="G302">
            <v>209.95</v>
          </cell>
          <cell r="H302">
            <v>0</v>
          </cell>
          <cell r="I302">
            <v>209.95</v>
          </cell>
        </row>
        <row r="303">
          <cell r="A303" t="str">
            <v>H%FH</v>
          </cell>
          <cell r="B303" t="str">
            <v>Otros</v>
          </cell>
          <cell r="C303" t="str">
            <v>Factor Herramientas</v>
          </cell>
          <cell r="D303">
            <v>1</v>
          </cell>
          <cell r="E303" t="str">
            <v>%</v>
          </cell>
          <cell r="F303">
            <v>209.95</v>
          </cell>
          <cell r="G303">
            <v>2.0994999999999999</v>
          </cell>
          <cell r="H303">
            <v>0</v>
          </cell>
          <cell r="I303">
            <v>2.0994999999999999</v>
          </cell>
        </row>
        <row r="304">
          <cell r="A304">
            <v>0</v>
          </cell>
          <cell r="B304">
            <v>0</v>
          </cell>
          <cell r="C304" t="str">
            <v>Total 01.04.18</v>
          </cell>
          <cell r="D304">
            <v>1</v>
          </cell>
          <cell r="E304">
            <v>0</v>
          </cell>
          <cell r="F304">
            <v>0</v>
          </cell>
          <cell r="G304">
            <v>1570.7671087040001</v>
          </cell>
          <cell r="H304">
            <v>157.23085671071999</v>
          </cell>
          <cell r="I304">
            <v>1727.9979654147203</v>
          </cell>
        </row>
        <row r="305">
          <cell r="A305" t="str">
            <v>01.04.19</v>
          </cell>
          <cell r="B305" t="str">
            <v>Partida</v>
          </cell>
          <cell r="C305" t="str">
            <v>Bloques de 8" BNP y SNP Ø 3/8 @ 0.40 con serpentina</v>
          </cell>
          <cell r="D305">
            <v>1</v>
          </cell>
          <cell r="E305" t="str">
            <v>m²</v>
          </cell>
          <cell r="F305">
            <v>0</v>
          </cell>
          <cell r="G305">
            <v>1255.9699588160001</v>
          </cell>
          <cell r="H305">
            <v>143.35835299488002</v>
          </cell>
          <cell r="I305">
            <v>1399.3283118108802</v>
          </cell>
        </row>
        <row r="306">
          <cell r="A306" t="str">
            <v>P1805012</v>
          </cell>
          <cell r="B306" t="str">
            <v>Material</v>
          </cell>
          <cell r="C306" t="str">
            <v>Bloque de hormigón de 8"</v>
          </cell>
          <cell r="D306">
            <v>13.125</v>
          </cell>
          <cell r="E306" t="str">
            <v>u</v>
          </cell>
          <cell r="F306">
            <v>29.97</v>
          </cell>
          <cell r="G306">
            <v>393.35624999999999</v>
          </cell>
          <cell r="H306">
            <v>70.804124999999999</v>
          </cell>
          <cell r="I306">
            <v>464.16037499999999</v>
          </cell>
        </row>
        <row r="307">
          <cell r="A307" t="str">
            <v>P0201008</v>
          </cell>
          <cell r="B307" t="str">
            <v>Material</v>
          </cell>
          <cell r="C307" t="str">
            <v>Arena Itabo Lavada</v>
          </cell>
          <cell r="D307">
            <v>5.6000000000000001E-2</v>
          </cell>
          <cell r="E307" t="str">
            <v>m³</v>
          </cell>
          <cell r="F307">
            <v>930.76</v>
          </cell>
          <cell r="G307">
            <v>52.12256</v>
          </cell>
          <cell r="H307">
            <v>9.3820607999999996</v>
          </cell>
          <cell r="I307">
            <v>61.504620799999998</v>
          </cell>
        </row>
        <row r="308">
          <cell r="A308" t="str">
            <v>P0601003</v>
          </cell>
          <cell r="B308" t="str">
            <v>Material</v>
          </cell>
          <cell r="C308" t="str">
            <v>Cemento Gris 94 lbs. Tipo Portland</v>
          </cell>
          <cell r="D308">
            <v>0.43340000000000001</v>
          </cell>
          <cell r="E308" t="str">
            <v>fd</v>
          </cell>
          <cell r="F308">
            <v>295</v>
          </cell>
          <cell r="G308">
            <v>127.85300000000001</v>
          </cell>
          <cell r="H308">
            <v>23.013539999999999</v>
          </cell>
          <cell r="I308">
            <v>150.86654000000001</v>
          </cell>
        </row>
        <row r="309">
          <cell r="A309" t="str">
            <v>P2403199</v>
          </cell>
          <cell r="B309" t="str">
            <v>Material</v>
          </cell>
          <cell r="C309" t="str">
            <v>Agua</v>
          </cell>
          <cell r="D309">
            <v>3</v>
          </cell>
          <cell r="E309" t="str">
            <v>gl</v>
          </cell>
          <cell r="F309">
            <v>1.58</v>
          </cell>
          <cell r="G309">
            <v>4.74</v>
          </cell>
          <cell r="H309">
            <v>0.85319999999999996</v>
          </cell>
          <cell r="I309">
            <v>5.5932000000000004</v>
          </cell>
        </row>
        <row r="310">
          <cell r="A310" t="str">
            <v>P0109018</v>
          </cell>
          <cell r="B310" t="str">
            <v>Auxiliar</v>
          </cell>
          <cell r="C310" t="str">
            <v>Hormigón In Situ fc=120Kg/Cm²  Agreg 3/8@1/2</v>
          </cell>
          <cell r="D310">
            <v>5.5800000000000002E-2</v>
          </cell>
          <cell r="E310" t="str">
            <v>m³</v>
          </cell>
          <cell r="F310">
            <v>4435.2180000000008</v>
          </cell>
          <cell r="G310">
            <v>247.48516440000006</v>
          </cell>
          <cell r="H310">
            <v>0</v>
          </cell>
          <cell r="I310">
            <v>247.48516440000006</v>
          </cell>
        </row>
        <row r="311">
          <cell r="A311" t="str">
            <v>P0401066</v>
          </cell>
          <cell r="B311" t="str">
            <v>Material</v>
          </cell>
          <cell r="C311" t="str">
            <v>Acero G-60, Long. Variable</v>
          </cell>
          <cell r="D311">
            <v>9.2153600000000016E-2</v>
          </cell>
          <cell r="E311" t="str">
            <v>qq</v>
          </cell>
          <cell r="F311">
            <v>2285</v>
          </cell>
          <cell r="G311">
            <v>210.57097600000003</v>
          </cell>
          <cell r="H311">
            <v>37.902775680000005</v>
          </cell>
          <cell r="I311">
            <v>248.47375168000002</v>
          </cell>
        </row>
        <row r="312">
          <cell r="A312" t="str">
            <v>P0418006</v>
          </cell>
          <cell r="B312" t="str">
            <v>Material</v>
          </cell>
          <cell r="C312" t="str">
            <v>Alambre galvanizado liso #18</v>
          </cell>
          <cell r="D312">
            <v>0.18430720000000003</v>
          </cell>
          <cell r="E312" t="str">
            <v>lb</v>
          </cell>
          <cell r="F312">
            <v>42.28</v>
          </cell>
          <cell r="G312">
            <v>7.7925084160000013</v>
          </cell>
          <cell r="H312">
            <v>1.4026515148800003</v>
          </cell>
          <cell r="I312">
            <v>9.1951599308800009</v>
          </cell>
        </row>
        <row r="313">
          <cell r="A313" t="str">
            <v>H0320204</v>
          </cell>
          <cell r="B313" t="str">
            <v>Mano de obra</v>
          </cell>
          <cell r="C313" t="str">
            <v>M.O. Alb colocación bloques de 8" (Inc. Llenado y Acero)</v>
          </cell>
          <cell r="D313">
            <v>13</v>
          </cell>
          <cell r="E313" t="str">
            <v>u</v>
          </cell>
          <cell r="F313">
            <v>16.149999999999999</v>
          </cell>
          <cell r="G313">
            <v>209.95</v>
          </cell>
          <cell r="H313">
            <v>0</v>
          </cell>
          <cell r="I313">
            <v>209.95</v>
          </cell>
        </row>
        <row r="314">
          <cell r="A314" t="str">
            <v>H%FH</v>
          </cell>
          <cell r="B314" t="str">
            <v>Otros</v>
          </cell>
          <cell r="C314" t="str">
            <v>Factor Herramientas</v>
          </cell>
          <cell r="D314">
            <v>1</v>
          </cell>
          <cell r="E314" t="str">
            <v>%</v>
          </cell>
          <cell r="F314">
            <v>209.95</v>
          </cell>
          <cell r="G314">
            <v>2.0994999999999999</v>
          </cell>
          <cell r="H314">
            <v>0</v>
          </cell>
          <cell r="I314">
            <v>2.0994999999999999</v>
          </cell>
        </row>
        <row r="315">
          <cell r="A315">
            <v>0</v>
          </cell>
          <cell r="B315">
            <v>0</v>
          </cell>
          <cell r="C315" t="str">
            <v>Total 01.04.19</v>
          </cell>
          <cell r="D315">
            <v>1</v>
          </cell>
          <cell r="E315">
            <v>0</v>
          </cell>
          <cell r="F315">
            <v>0</v>
          </cell>
          <cell r="G315">
            <v>1255.9699588160001</v>
          </cell>
          <cell r="H315">
            <v>143.35835299488002</v>
          </cell>
          <cell r="I315">
            <v>1399.3283118108802</v>
          </cell>
        </row>
        <row r="316">
          <cell r="A316" t="str">
            <v>01.04.20</v>
          </cell>
          <cell r="B316" t="str">
            <v>Partida</v>
          </cell>
          <cell r="C316" t="str">
            <v>Bloques de 8" BNP y SNP Ø 3/8 @ 0.60 con serpentina cada 3 lineas</v>
          </cell>
          <cell r="D316">
            <v>1</v>
          </cell>
          <cell r="E316" t="str">
            <v>m²</v>
          </cell>
          <cell r="F316">
            <v>0</v>
          </cell>
          <cell r="G316">
            <v>1150.8897349199999</v>
          </cell>
          <cell r="H316">
            <v>138.7341850896</v>
          </cell>
          <cell r="I316">
            <v>1289.6239200096004</v>
          </cell>
        </row>
        <row r="317">
          <cell r="A317" t="str">
            <v>P1805012</v>
          </cell>
          <cell r="B317" t="str">
            <v>Material</v>
          </cell>
          <cell r="C317" t="str">
            <v>Bloque de hormigón de 8"</v>
          </cell>
          <cell r="D317">
            <v>13.125</v>
          </cell>
          <cell r="E317" t="str">
            <v>u</v>
          </cell>
          <cell r="F317">
            <v>29.97</v>
          </cell>
          <cell r="G317">
            <v>393.35624999999999</v>
          </cell>
          <cell r="H317">
            <v>70.804124999999999</v>
          </cell>
          <cell r="I317">
            <v>464.16037499999999</v>
          </cell>
        </row>
        <row r="318">
          <cell r="A318" t="str">
            <v>P0201008</v>
          </cell>
          <cell r="B318" t="str">
            <v>Material</v>
          </cell>
          <cell r="C318" t="str">
            <v>Arena Itabo Lavada</v>
          </cell>
          <cell r="D318">
            <v>5.6000000000000001E-2</v>
          </cell>
          <cell r="E318" t="str">
            <v>m³</v>
          </cell>
          <cell r="F318">
            <v>930.76</v>
          </cell>
          <cell r="G318">
            <v>52.12256</v>
          </cell>
          <cell r="H318">
            <v>9.3820607999999996</v>
          </cell>
          <cell r="I318">
            <v>61.504620799999998</v>
          </cell>
        </row>
        <row r="319">
          <cell r="A319" t="str">
            <v>P0601003</v>
          </cell>
          <cell r="B319" t="str">
            <v>Material</v>
          </cell>
          <cell r="C319" t="str">
            <v>Cemento Gris 94 lbs. Tipo Portland</v>
          </cell>
          <cell r="D319">
            <v>0.43340000000000001</v>
          </cell>
          <cell r="E319" t="str">
            <v>fd</v>
          </cell>
          <cell r="F319">
            <v>295</v>
          </cell>
          <cell r="G319">
            <v>127.85300000000001</v>
          </cell>
          <cell r="H319">
            <v>23.013539999999999</v>
          </cell>
          <cell r="I319">
            <v>150.86654000000001</v>
          </cell>
        </row>
        <row r="320">
          <cell r="A320" t="str">
            <v>P2403199</v>
          </cell>
          <cell r="B320" t="str">
            <v>Material</v>
          </cell>
          <cell r="C320" t="str">
            <v>Agua</v>
          </cell>
          <cell r="D320">
            <v>3</v>
          </cell>
          <cell r="E320" t="str">
            <v>gl</v>
          </cell>
          <cell r="F320">
            <v>1.58</v>
          </cell>
          <cell r="G320">
            <v>4.74</v>
          </cell>
          <cell r="H320">
            <v>0.85319999999999996</v>
          </cell>
          <cell r="I320">
            <v>5.5932000000000004</v>
          </cell>
        </row>
        <row r="321">
          <cell r="A321" t="str">
            <v>P0109018</v>
          </cell>
          <cell r="B321" t="str">
            <v>Auxiliar</v>
          </cell>
          <cell r="C321" t="str">
            <v>Hormigón In Situ fc=120Kg/Cm²  Agreg 3/8@1/2</v>
          </cell>
          <cell r="D321">
            <v>3.7900000000000003E-2</v>
          </cell>
          <cell r="E321" t="str">
            <v>m³</v>
          </cell>
          <cell r="F321">
            <v>4435.2180000000008</v>
          </cell>
          <cell r="G321">
            <v>168.09476220000005</v>
          </cell>
          <cell r="H321">
            <v>0</v>
          </cell>
          <cell r="I321">
            <v>168.09476220000005</v>
          </cell>
        </row>
        <row r="322">
          <cell r="A322" t="str">
            <v>P0401066</v>
          </cell>
          <cell r="B322" t="str">
            <v>Material</v>
          </cell>
          <cell r="C322" t="str">
            <v>Acero G-60, Long. Variable</v>
          </cell>
          <cell r="D322">
            <v>8.1312000000000009E-2</v>
          </cell>
          <cell r="E322" t="str">
            <v>qq</v>
          </cell>
          <cell r="F322">
            <v>2285</v>
          </cell>
          <cell r="G322">
            <v>185.79792000000003</v>
          </cell>
          <cell r="H322">
            <v>33.443625600000004</v>
          </cell>
          <cell r="I322">
            <v>219.24154560000005</v>
          </cell>
        </row>
        <row r="323">
          <cell r="A323" t="str">
            <v>P0418006</v>
          </cell>
          <cell r="B323" t="str">
            <v>Material</v>
          </cell>
          <cell r="C323" t="str">
            <v>Alambre galvanizado liso #18</v>
          </cell>
          <cell r="D323">
            <v>0.16262400000000002</v>
          </cell>
          <cell r="E323" t="str">
            <v>lb</v>
          </cell>
          <cell r="F323">
            <v>42.28</v>
          </cell>
          <cell r="G323">
            <v>6.8757427200000008</v>
          </cell>
          <cell r="H323">
            <v>1.2376336896000002</v>
          </cell>
          <cell r="I323">
            <v>8.1133764096000007</v>
          </cell>
        </row>
        <row r="324">
          <cell r="A324" t="str">
            <v>H0320204</v>
          </cell>
          <cell r="B324" t="str">
            <v>Mano de obra</v>
          </cell>
          <cell r="C324" t="str">
            <v>M.O. Alb colocación bloques de 8" (Inc. Llenado y Acero)</v>
          </cell>
          <cell r="D324">
            <v>13</v>
          </cell>
          <cell r="E324" t="str">
            <v>u</v>
          </cell>
          <cell r="F324">
            <v>16.149999999999999</v>
          </cell>
          <cell r="G324">
            <v>209.95</v>
          </cell>
          <cell r="H324">
            <v>0</v>
          </cell>
          <cell r="I324">
            <v>209.95</v>
          </cell>
        </row>
        <row r="325">
          <cell r="A325" t="str">
            <v>H%FH</v>
          </cell>
          <cell r="B325" t="str">
            <v>Otros</v>
          </cell>
          <cell r="C325" t="str">
            <v>Factor Herramientas</v>
          </cell>
          <cell r="D325">
            <v>1</v>
          </cell>
          <cell r="E325" t="str">
            <v>%</v>
          </cell>
          <cell r="F325">
            <v>209.95</v>
          </cell>
          <cell r="G325">
            <v>2.0994999999999999</v>
          </cell>
          <cell r="H325">
            <v>0</v>
          </cell>
          <cell r="I325">
            <v>2.0994999999999999</v>
          </cell>
        </row>
        <row r="326">
          <cell r="A326">
            <v>0</v>
          </cell>
          <cell r="B326">
            <v>0</v>
          </cell>
          <cell r="C326" t="str">
            <v>Total 01.04.20</v>
          </cell>
          <cell r="D326">
            <v>1</v>
          </cell>
          <cell r="E326">
            <v>0</v>
          </cell>
          <cell r="F326">
            <v>0</v>
          </cell>
          <cell r="G326">
            <v>1150.8897349199999</v>
          </cell>
          <cell r="H326">
            <v>138.7341850896</v>
          </cell>
          <cell r="I326">
            <v>1289.6239200096004</v>
          </cell>
        </row>
        <row r="327">
          <cell r="A327" t="str">
            <v>01.04.21</v>
          </cell>
          <cell r="B327" t="str">
            <v>Partida</v>
          </cell>
          <cell r="C327" t="str">
            <v>Bloques de 8" BNP y SNP Ø 3/8 @ 0.80</v>
          </cell>
          <cell r="D327">
            <v>1</v>
          </cell>
          <cell r="E327" t="str">
            <v>m²</v>
          </cell>
          <cell r="F327">
            <v>0</v>
          </cell>
          <cell r="G327">
            <v>970.12227539200012</v>
          </cell>
          <cell r="H327">
            <v>113.30126161056002</v>
          </cell>
          <cell r="I327">
            <v>1083.4235370025601</v>
          </cell>
        </row>
        <row r="328">
          <cell r="A328" t="str">
            <v>P1805012</v>
          </cell>
          <cell r="B328" t="str">
            <v>Material</v>
          </cell>
          <cell r="C328" t="str">
            <v>Bloque de hormigón de 8"</v>
          </cell>
          <cell r="D328">
            <v>13.125</v>
          </cell>
          <cell r="E328" t="str">
            <v>u</v>
          </cell>
          <cell r="F328">
            <v>29.97</v>
          </cell>
          <cell r="G328">
            <v>393.35624999999999</v>
          </cell>
          <cell r="H328">
            <v>70.804124999999999</v>
          </cell>
          <cell r="I328">
            <v>464.16037499999999</v>
          </cell>
        </row>
        <row r="329">
          <cell r="A329" t="str">
            <v>P0201008</v>
          </cell>
          <cell r="B329" t="str">
            <v>Material</v>
          </cell>
          <cell r="C329" t="str">
            <v>Arena Itabo Lavada</v>
          </cell>
          <cell r="D329">
            <v>5.6000000000000001E-2</v>
          </cell>
          <cell r="E329" t="str">
            <v>m³</v>
          </cell>
          <cell r="F329">
            <v>930.76</v>
          </cell>
          <cell r="G329">
            <v>52.12256</v>
          </cell>
          <cell r="H329">
            <v>9.3820607999999996</v>
          </cell>
          <cell r="I329">
            <v>61.504620799999998</v>
          </cell>
        </row>
        <row r="330">
          <cell r="A330" t="str">
            <v>P0601003</v>
          </cell>
          <cell r="B330" t="str">
            <v>Material</v>
          </cell>
          <cell r="C330" t="str">
            <v>Cemento Gris 94 lbs. Tipo Portland</v>
          </cell>
          <cell r="D330">
            <v>0.43340000000000001</v>
          </cell>
          <cell r="E330" t="str">
            <v>fd</v>
          </cell>
          <cell r="F330">
            <v>295</v>
          </cell>
          <cell r="G330">
            <v>127.85300000000001</v>
          </cell>
          <cell r="H330">
            <v>23.013539999999999</v>
          </cell>
          <cell r="I330">
            <v>150.86654000000001</v>
          </cell>
        </row>
        <row r="331">
          <cell r="A331" t="str">
            <v>P2403199</v>
          </cell>
          <cell r="B331" t="str">
            <v>Material</v>
          </cell>
          <cell r="C331" t="str">
            <v>Agua</v>
          </cell>
          <cell r="D331">
            <v>3</v>
          </cell>
          <cell r="E331" t="str">
            <v>gl</v>
          </cell>
          <cell r="F331">
            <v>1.58</v>
          </cell>
          <cell r="G331">
            <v>4.74</v>
          </cell>
          <cell r="H331">
            <v>0.85319999999999996</v>
          </cell>
          <cell r="I331">
            <v>5.5932000000000004</v>
          </cell>
        </row>
        <row r="332">
          <cell r="A332" t="str">
            <v>P0109018</v>
          </cell>
          <cell r="B332" t="str">
            <v>Auxiliar</v>
          </cell>
          <cell r="C332" t="str">
            <v>Hormigón In Situ fc=120Kg/Cm²  Agreg 3/8@1/2</v>
          </cell>
          <cell r="D332">
            <v>2.9000000000000001E-2</v>
          </cell>
          <cell r="E332" t="str">
            <v>m³</v>
          </cell>
          <cell r="F332">
            <v>4435.2180000000008</v>
          </cell>
          <cell r="G332">
            <v>128.62132200000002</v>
          </cell>
          <cell r="H332">
            <v>0</v>
          </cell>
          <cell r="I332">
            <v>128.62132200000002</v>
          </cell>
        </row>
        <row r="333">
          <cell r="A333" t="str">
            <v>P0401066</v>
          </cell>
          <cell r="B333" t="str">
            <v>Material</v>
          </cell>
          <cell r="C333" t="str">
            <v>Acero G-60, Long. Variable</v>
          </cell>
          <cell r="D333">
            <v>2.1683200000000003E-2</v>
          </cell>
          <cell r="E333" t="str">
            <v>qq</v>
          </cell>
          <cell r="F333">
            <v>2285</v>
          </cell>
          <cell r="G333">
            <v>49.546112000000008</v>
          </cell>
          <cell r="H333">
            <v>8.9183001600000011</v>
          </cell>
          <cell r="I333">
            <v>58.464412160000009</v>
          </cell>
        </row>
        <row r="334">
          <cell r="A334" t="str">
            <v>P0418006</v>
          </cell>
          <cell r="B334" t="str">
            <v>Material</v>
          </cell>
          <cell r="C334" t="str">
            <v>Alambre galvanizado liso #18</v>
          </cell>
          <cell r="D334">
            <v>4.3366400000000006E-2</v>
          </cell>
          <cell r="E334" t="str">
            <v>lb</v>
          </cell>
          <cell r="F334">
            <v>42.28</v>
          </cell>
          <cell r="G334">
            <v>1.8335313920000003</v>
          </cell>
          <cell r="H334">
            <v>0.33003565056000006</v>
          </cell>
          <cell r="I334">
            <v>2.1635670425600004</v>
          </cell>
        </row>
        <row r="335">
          <cell r="A335" t="str">
            <v>H0320204</v>
          </cell>
          <cell r="B335" t="str">
            <v>Mano de obra</v>
          </cell>
          <cell r="C335" t="str">
            <v>M.O. Alb colocación bloques de 8" (Inc. Llenado y Acero)</v>
          </cell>
          <cell r="D335">
            <v>13</v>
          </cell>
          <cell r="E335" t="str">
            <v>u</v>
          </cell>
          <cell r="F335">
            <v>16.149999999999999</v>
          </cell>
          <cell r="G335">
            <v>209.95</v>
          </cell>
          <cell r="H335">
            <v>0</v>
          </cell>
          <cell r="I335">
            <v>209.95</v>
          </cell>
        </row>
        <row r="336">
          <cell r="A336" t="str">
            <v>H%FH</v>
          </cell>
          <cell r="B336" t="str">
            <v>Otros</v>
          </cell>
          <cell r="C336" t="str">
            <v>Factor Herramientas</v>
          </cell>
          <cell r="D336">
            <v>1</v>
          </cell>
          <cell r="E336" t="str">
            <v>%</v>
          </cell>
          <cell r="F336">
            <v>209.95</v>
          </cell>
          <cell r="G336">
            <v>2.0994999999999999</v>
          </cell>
          <cell r="H336">
            <v>0</v>
          </cell>
          <cell r="I336">
            <v>2.0994999999999999</v>
          </cell>
        </row>
        <row r="337">
          <cell r="A337">
            <v>0</v>
          </cell>
          <cell r="B337">
            <v>0</v>
          </cell>
          <cell r="C337" t="str">
            <v>Total 01.04.21</v>
          </cell>
          <cell r="D337">
            <v>1</v>
          </cell>
          <cell r="E337">
            <v>0</v>
          </cell>
          <cell r="F337">
            <v>0</v>
          </cell>
          <cell r="G337">
            <v>970.12227539200012</v>
          </cell>
          <cell r="H337">
            <v>113.30126161056002</v>
          </cell>
          <cell r="I337">
            <v>1083.4235370025601</v>
          </cell>
        </row>
        <row r="338">
          <cell r="A338" t="str">
            <v>01.04.22</v>
          </cell>
          <cell r="B338" t="str">
            <v>Partida</v>
          </cell>
          <cell r="C338" t="str">
            <v>Bloques de 8" SNP Ø 3/8 @ 0.20 con serpentina cada linea</v>
          </cell>
          <cell r="D338">
            <v>1</v>
          </cell>
          <cell r="E338" t="str">
            <v>m²</v>
          </cell>
          <cell r="F338">
            <v>0</v>
          </cell>
          <cell r="G338">
            <v>1784.848956170667</v>
          </cell>
          <cell r="H338">
            <v>195.76558925472</v>
          </cell>
          <cell r="I338">
            <v>1980.614545425387</v>
          </cell>
        </row>
        <row r="339">
          <cell r="A339" t="str">
            <v>P1805012</v>
          </cell>
          <cell r="B339" t="str">
            <v>Material</v>
          </cell>
          <cell r="C339" t="str">
            <v>Bloque de hormigón de 8"</v>
          </cell>
          <cell r="D339">
            <v>13.125</v>
          </cell>
          <cell r="E339" t="str">
            <v>u</v>
          </cell>
          <cell r="F339">
            <v>29.97</v>
          </cell>
          <cell r="G339">
            <v>393.35624999999999</v>
          </cell>
          <cell r="H339">
            <v>70.804124999999999</v>
          </cell>
          <cell r="I339">
            <v>464.16037499999999</v>
          </cell>
        </row>
        <row r="340">
          <cell r="A340" t="str">
            <v>P0201008</v>
          </cell>
          <cell r="B340" t="str">
            <v>Material</v>
          </cell>
          <cell r="C340" t="str">
            <v>Arena Itabo Lavada</v>
          </cell>
          <cell r="D340">
            <v>5.6000000000000001E-2</v>
          </cell>
          <cell r="E340" t="str">
            <v>m³</v>
          </cell>
          <cell r="F340">
            <v>930.76</v>
          </cell>
          <cell r="G340">
            <v>52.12256</v>
          </cell>
          <cell r="H340">
            <v>9.3820607999999996</v>
          </cell>
          <cell r="I340">
            <v>61.504620799999998</v>
          </cell>
        </row>
        <row r="341">
          <cell r="A341" t="str">
            <v>P0601003</v>
          </cell>
          <cell r="B341" t="str">
            <v>Material</v>
          </cell>
          <cell r="C341" t="str">
            <v>Cemento Gris 94 lbs. Tipo Portland</v>
          </cell>
          <cell r="D341">
            <v>0.43340000000000001</v>
          </cell>
          <cell r="E341" t="str">
            <v>fd</v>
          </cell>
          <cell r="F341">
            <v>295</v>
          </cell>
          <cell r="G341">
            <v>127.85300000000001</v>
          </cell>
          <cell r="H341">
            <v>23.013539999999999</v>
          </cell>
          <cell r="I341">
            <v>150.86654000000001</v>
          </cell>
        </row>
        <row r="342">
          <cell r="A342" t="str">
            <v>P2403199</v>
          </cell>
          <cell r="B342" t="str">
            <v>Material</v>
          </cell>
          <cell r="C342" t="str">
            <v>Agua</v>
          </cell>
          <cell r="D342">
            <v>3</v>
          </cell>
          <cell r="E342" t="str">
            <v>gl</v>
          </cell>
          <cell r="F342">
            <v>1.58</v>
          </cell>
          <cell r="G342">
            <v>4.74</v>
          </cell>
          <cell r="H342">
            <v>0.85319999999999996</v>
          </cell>
          <cell r="I342">
            <v>5.5932000000000004</v>
          </cell>
        </row>
        <row r="343">
          <cell r="A343" t="str">
            <v>P0109018</v>
          </cell>
          <cell r="B343" t="str">
            <v>Auxiliar</v>
          </cell>
          <cell r="C343" t="str">
            <v>Hormigón In Situ fc=120Kg/Cm²  Agreg 3/8@1/2</v>
          </cell>
          <cell r="D343">
            <v>0.1094</v>
          </cell>
          <cell r="E343" t="str">
            <v>m³</v>
          </cell>
          <cell r="F343">
            <v>4435.2180000000008</v>
          </cell>
          <cell r="G343">
            <v>485.21284920000005</v>
          </cell>
          <cell r="H343">
            <v>0</v>
          </cell>
          <cell r="I343">
            <v>485.21284920000005</v>
          </cell>
        </row>
        <row r="344">
          <cell r="A344" t="str">
            <v>P0401066</v>
          </cell>
          <cell r="B344" t="str">
            <v>Material</v>
          </cell>
          <cell r="C344" t="str">
            <v>Acero G-60, Long. Variable</v>
          </cell>
          <cell r="D344">
            <v>0.21502506666666665</v>
          </cell>
          <cell r="E344" t="str">
            <v>qq</v>
          </cell>
          <cell r="F344">
            <v>2285</v>
          </cell>
          <cell r="G344">
            <v>491.33227733333331</v>
          </cell>
          <cell r="H344">
            <v>88.439809919999988</v>
          </cell>
          <cell r="I344">
            <v>579.77208725333332</v>
          </cell>
        </row>
        <row r="345">
          <cell r="A345" t="str">
            <v>P0418006</v>
          </cell>
          <cell r="B345" t="str">
            <v>Material</v>
          </cell>
          <cell r="C345" t="str">
            <v>Alambre galvanizado liso #18</v>
          </cell>
          <cell r="D345">
            <v>0.43005013333333331</v>
          </cell>
          <cell r="E345" t="str">
            <v>lb</v>
          </cell>
          <cell r="F345">
            <v>42.28</v>
          </cell>
          <cell r="G345">
            <v>18.182519637333332</v>
          </cell>
          <cell r="H345">
            <v>3.2728535347199998</v>
          </cell>
          <cell r="I345">
            <v>21.455373172053331</v>
          </cell>
        </row>
        <row r="346">
          <cell r="A346" t="str">
            <v>H0320204</v>
          </cell>
          <cell r="B346" t="str">
            <v>Mano de obra</v>
          </cell>
          <cell r="C346" t="str">
            <v>M.O. Alb colocación bloques de 8" (Inc. Llenado y Acero)</v>
          </cell>
          <cell r="D346">
            <v>13</v>
          </cell>
          <cell r="E346" t="str">
            <v>u</v>
          </cell>
          <cell r="F346">
            <v>16.149999999999999</v>
          </cell>
          <cell r="G346">
            <v>209.95</v>
          </cell>
          <cell r="H346">
            <v>0</v>
          </cell>
          <cell r="I346">
            <v>209.95</v>
          </cell>
        </row>
        <row r="347">
          <cell r="A347" t="str">
            <v>H%FH</v>
          </cell>
          <cell r="B347" t="str">
            <v>Otros</v>
          </cell>
          <cell r="C347" t="str">
            <v>Factor Herramientas</v>
          </cell>
          <cell r="D347">
            <v>1</v>
          </cell>
          <cell r="E347" t="str">
            <v>%</v>
          </cell>
          <cell r="F347">
            <v>209.95</v>
          </cell>
          <cell r="G347">
            <v>2.0994999999999999</v>
          </cell>
          <cell r="H347">
            <v>0</v>
          </cell>
          <cell r="I347">
            <v>2.0994999999999999</v>
          </cell>
        </row>
        <row r="348">
          <cell r="A348">
            <v>0</v>
          </cell>
          <cell r="B348">
            <v>0</v>
          </cell>
          <cell r="C348" t="str">
            <v>Total 01.04.22</v>
          </cell>
          <cell r="D348">
            <v>1</v>
          </cell>
          <cell r="E348">
            <v>0</v>
          </cell>
          <cell r="F348">
            <v>0</v>
          </cell>
          <cell r="G348">
            <v>1784.848956170667</v>
          </cell>
          <cell r="H348">
            <v>195.76558925472</v>
          </cell>
          <cell r="I348">
            <v>1980.614545425387</v>
          </cell>
        </row>
        <row r="349">
          <cell r="A349" t="str">
            <v>01.04.23</v>
          </cell>
          <cell r="B349" t="str">
            <v>Partida</v>
          </cell>
          <cell r="C349" t="str">
            <v>Muros en sheetrock a dos caras</v>
          </cell>
          <cell r="D349">
            <v>1</v>
          </cell>
          <cell r="E349" t="str">
            <v>m²</v>
          </cell>
          <cell r="F349">
            <v>0</v>
          </cell>
          <cell r="G349">
            <v>850</v>
          </cell>
          <cell r="H349">
            <v>153</v>
          </cell>
          <cell r="I349">
            <v>1003</v>
          </cell>
        </row>
        <row r="350">
          <cell r="A350" t="str">
            <v>O451215</v>
          </cell>
          <cell r="B350" t="str">
            <v>Sub-contrato</v>
          </cell>
          <cell r="C350" t="str">
            <v>Instalación de Muros en sheetrock a dos caras TC</v>
          </cell>
          <cell r="D350">
            <v>1</v>
          </cell>
          <cell r="E350" t="str">
            <v>m²</v>
          </cell>
          <cell r="F350">
            <v>850</v>
          </cell>
          <cell r="G350">
            <v>850</v>
          </cell>
          <cell r="H350">
            <v>153</v>
          </cell>
          <cell r="I350">
            <v>1003</v>
          </cell>
        </row>
        <row r="351">
          <cell r="A351">
            <v>0</v>
          </cell>
          <cell r="B351">
            <v>0</v>
          </cell>
          <cell r="C351" t="str">
            <v>Total 01.04.23</v>
          </cell>
          <cell r="D351">
            <v>1</v>
          </cell>
          <cell r="E351">
            <v>0</v>
          </cell>
          <cell r="F351">
            <v>0</v>
          </cell>
          <cell r="G351">
            <v>850</v>
          </cell>
          <cell r="H351">
            <v>153</v>
          </cell>
          <cell r="I351">
            <v>1003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01.05</v>
          </cell>
          <cell r="B354" t="str">
            <v>Capítulo</v>
          </cell>
          <cell r="C354" t="str">
            <v>TERMINACION DE SUPERFICIE: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01.05.01</v>
          </cell>
          <cell r="B355" t="str">
            <v>Partida</v>
          </cell>
          <cell r="C355" t="str">
            <v>Cantos</v>
          </cell>
          <cell r="D355">
            <v>1</v>
          </cell>
          <cell r="E355" t="str">
            <v>m</v>
          </cell>
          <cell r="F355">
            <v>0</v>
          </cell>
          <cell r="G355">
            <v>55.237954000000002</v>
          </cell>
          <cell r="H355">
            <v>1.7618317199999998</v>
          </cell>
          <cell r="I355">
            <v>56.999785720000006</v>
          </cell>
        </row>
        <row r="356">
          <cell r="A356" t="str">
            <v>P0603001</v>
          </cell>
          <cell r="B356" t="str">
            <v>Material</v>
          </cell>
          <cell r="C356" t="str">
            <v>Cal hidratada, funda de 50 Lbs</v>
          </cell>
          <cell r="D356">
            <v>1.1000000000000001E-3</v>
          </cell>
          <cell r="E356" t="str">
            <v>fd</v>
          </cell>
          <cell r="F356">
            <v>213.4</v>
          </cell>
          <cell r="G356">
            <v>0.23474000000000003</v>
          </cell>
          <cell r="H356">
            <v>4.2253200000000005E-2</v>
          </cell>
          <cell r="I356">
            <v>0.27699320000000005</v>
          </cell>
        </row>
        <row r="357">
          <cell r="A357" t="str">
            <v>P0601003</v>
          </cell>
          <cell r="B357" t="str">
            <v>Material</v>
          </cell>
          <cell r="C357" t="str">
            <v>Cemento Gris 94 lbs. Tipo Portland</v>
          </cell>
          <cell r="D357">
            <v>8.6999999999999994E-3</v>
          </cell>
          <cell r="E357" t="str">
            <v>fd</v>
          </cell>
          <cell r="F357">
            <v>295</v>
          </cell>
          <cell r="G357">
            <v>2.5665</v>
          </cell>
          <cell r="H357">
            <v>0.46196999999999999</v>
          </cell>
          <cell r="I357">
            <v>3.02847</v>
          </cell>
        </row>
        <row r="358">
          <cell r="A358" t="str">
            <v>P0201005</v>
          </cell>
          <cell r="B358" t="str">
            <v>Material</v>
          </cell>
          <cell r="C358" t="str">
            <v>Arena fina p/pañete</v>
          </cell>
          <cell r="D358">
            <v>5.9999999999999995E-4</v>
          </cell>
          <cell r="E358" t="str">
            <v>m³</v>
          </cell>
          <cell r="F358">
            <v>1200</v>
          </cell>
          <cell r="G358">
            <v>0.72</v>
          </cell>
          <cell r="H358">
            <v>0.12959999999999999</v>
          </cell>
          <cell r="I358">
            <v>0.84959999999999991</v>
          </cell>
        </row>
        <row r="359">
          <cell r="A359" t="str">
            <v>P2403199</v>
          </cell>
          <cell r="B359" t="str">
            <v>Material</v>
          </cell>
          <cell r="C359" t="str">
            <v>Agua</v>
          </cell>
          <cell r="D359">
            <v>1E-3</v>
          </cell>
          <cell r="E359" t="str">
            <v>gl</v>
          </cell>
          <cell r="F359">
            <v>1.58</v>
          </cell>
          <cell r="G359">
            <v>1.58E-3</v>
          </cell>
          <cell r="H359">
            <v>2.8439999999999997E-4</v>
          </cell>
          <cell r="I359">
            <v>1.8644E-3</v>
          </cell>
        </row>
        <row r="360">
          <cell r="A360" t="str">
            <v>P0420007</v>
          </cell>
          <cell r="B360" t="str">
            <v>Material</v>
          </cell>
          <cell r="C360" t="str">
            <v>Clavos de acero 3"</v>
          </cell>
          <cell r="D360">
            <v>0.1094</v>
          </cell>
          <cell r="E360" t="str">
            <v>lb</v>
          </cell>
          <cell r="F360">
            <v>46.61</v>
          </cell>
          <cell r="G360">
            <v>5.0991339999999994</v>
          </cell>
          <cell r="H360">
            <v>0.91784411999999982</v>
          </cell>
          <cell r="I360">
            <v>6.0169781199999992</v>
          </cell>
        </row>
        <row r="361">
          <cell r="A361" t="str">
            <v>P0701003</v>
          </cell>
          <cell r="B361" t="str">
            <v>Material</v>
          </cell>
          <cell r="C361" t="str">
            <v>Regla para pañete de PATC</v>
          </cell>
          <cell r="D361">
            <v>2.12E-2</v>
          </cell>
          <cell r="E361" t="str">
            <v>p²</v>
          </cell>
          <cell r="F361">
            <v>55.000000000000007</v>
          </cell>
          <cell r="G361">
            <v>1.1660000000000001</v>
          </cell>
          <cell r="H361">
            <v>0.20988000000000001</v>
          </cell>
          <cell r="I361">
            <v>1.3758800000000002</v>
          </cell>
        </row>
        <row r="362">
          <cell r="A362" t="str">
            <v>H0330310</v>
          </cell>
          <cell r="B362" t="str">
            <v>Mano de obra</v>
          </cell>
          <cell r="C362" t="str">
            <v>M.O. Cantos en general</v>
          </cell>
          <cell r="D362">
            <v>1</v>
          </cell>
          <cell r="E362" t="str">
            <v>m</v>
          </cell>
          <cell r="F362">
            <v>45</v>
          </cell>
          <cell r="G362">
            <v>45</v>
          </cell>
          <cell r="H362">
            <v>0</v>
          </cell>
          <cell r="I362">
            <v>45</v>
          </cell>
        </row>
        <row r="363">
          <cell r="A363" t="str">
            <v>H%FH</v>
          </cell>
          <cell r="B363" t="str">
            <v>Otros</v>
          </cell>
          <cell r="C363" t="str">
            <v>Factor Herramientas</v>
          </cell>
          <cell r="D363">
            <v>1</v>
          </cell>
          <cell r="E363" t="str">
            <v>%</v>
          </cell>
          <cell r="F363">
            <v>45</v>
          </cell>
          <cell r="G363">
            <v>0.45</v>
          </cell>
          <cell r="H363">
            <v>0</v>
          </cell>
          <cell r="I363">
            <v>0.45</v>
          </cell>
        </row>
        <row r="364">
          <cell r="A364">
            <v>0</v>
          </cell>
          <cell r="B364">
            <v>0</v>
          </cell>
          <cell r="C364" t="str">
            <v>Total 01.05.01</v>
          </cell>
          <cell r="D364">
            <v>1</v>
          </cell>
          <cell r="E364">
            <v>0</v>
          </cell>
          <cell r="G364">
            <v>55.237954000000002</v>
          </cell>
          <cell r="H364">
            <v>1.7618317199999998</v>
          </cell>
          <cell r="I364">
            <v>56.999785720000006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01.05.03</v>
          </cell>
          <cell r="B366" t="str">
            <v>Partida</v>
          </cell>
          <cell r="C366" t="str">
            <v>Careteo/ Fraguache</v>
          </cell>
          <cell r="D366">
            <v>1</v>
          </cell>
          <cell r="E366" t="str">
            <v>m²</v>
          </cell>
          <cell r="F366">
            <v>0</v>
          </cell>
          <cell r="G366">
            <v>104.267032</v>
          </cell>
          <cell r="H366">
            <v>11.49606576</v>
          </cell>
          <cell r="I366">
            <v>115.76309776000001</v>
          </cell>
        </row>
        <row r="367">
          <cell r="A367" t="str">
            <v>P0601003</v>
          </cell>
          <cell r="B367" t="str">
            <v>Material</v>
          </cell>
          <cell r="C367" t="str">
            <v>Cemento Gris 94 lbs. Tipo Portland</v>
          </cell>
          <cell r="D367">
            <v>6.6100000000000006E-2</v>
          </cell>
          <cell r="E367" t="str">
            <v>fd</v>
          </cell>
          <cell r="F367">
            <v>295</v>
          </cell>
          <cell r="G367">
            <v>19.499500000000001</v>
          </cell>
          <cell r="H367">
            <v>3.5099100000000001</v>
          </cell>
          <cell r="I367">
            <v>23.009410000000003</v>
          </cell>
        </row>
        <row r="368">
          <cell r="A368" t="str">
            <v>P0201008</v>
          </cell>
          <cell r="B368" t="str">
            <v>Material</v>
          </cell>
          <cell r="C368" t="str">
            <v>Arena Itabo Lavada</v>
          </cell>
          <cell r="D368">
            <v>4.7000000000000002E-3</v>
          </cell>
          <cell r="E368" t="str">
            <v>m³</v>
          </cell>
          <cell r="F368">
            <v>930.76</v>
          </cell>
          <cell r="G368">
            <v>4.3745720000000006</v>
          </cell>
          <cell r="H368">
            <v>0.78742296000000012</v>
          </cell>
          <cell r="I368">
            <v>5.1619949600000004</v>
          </cell>
        </row>
        <row r="369">
          <cell r="A369" t="str">
            <v>P2403199</v>
          </cell>
          <cell r="B369" t="str">
            <v>Material</v>
          </cell>
          <cell r="C369" t="str">
            <v>Agua</v>
          </cell>
          <cell r="D369">
            <v>0.312</v>
          </cell>
          <cell r="E369" t="str">
            <v>gl</v>
          </cell>
          <cell r="F369">
            <v>1.58</v>
          </cell>
          <cell r="G369">
            <v>0.49296000000000001</v>
          </cell>
          <cell r="H369">
            <v>8.8732800000000001E-2</v>
          </cell>
          <cell r="I369">
            <v>0.58169280000000001</v>
          </cell>
        </row>
        <row r="370">
          <cell r="A370" t="str">
            <v>P2465458</v>
          </cell>
          <cell r="B370" t="str">
            <v>Material</v>
          </cell>
          <cell r="C370" t="str">
            <v>Vinalbond/ Thorobond</v>
          </cell>
          <cell r="D370">
            <v>0.05</v>
          </cell>
          <cell r="E370" t="str">
            <v>gl</v>
          </cell>
          <cell r="F370">
            <v>790</v>
          </cell>
          <cell r="G370">
            <v>39.5</v>
          </cell>
          <cell r="H370">
            <v>7.1099999999999994</v>
          </cell>
          <cell r="I370">
            <v>46.61</v>
          </cell>
        </row>
        <row r="371">
          <cell r="A371" t="str">
            <v>H0330306</v>
          </cell>
          <cell r="B371" t="str">
            <v>Mano de obra</v>
          </cell>
          <cell r="C371" t="str">
            <v>M.O. Alb careteo/fraguache</v>
          </cell>
          <cell r="D371">
            <v>1</v>
          </cell>
          <cell r="E371" t="str">
            <v>m²</v>
          </cell>
          <cell r="F371">
            <v>20</v>
          </cell>
          <cell r="G371">
            <v>20</v>
          </cell>
          <cell r="H371">
            <v>0</v>
          </cell>
          <cell r="I371">
            <v>20</v>
          </cell>
        </row>
        <row r="372">
          <cell r="A372" t="str">
            <v>HM000200</v>
          </cell>
          <cell r="B372" t="str">
            <v>Mano de obra</v>
          </cell>
          <cell r="C372" t="str">
            <v>M.O. Aplicacion Thorobond</v>
          </cell>
          <cell r="D372">
            <v>1</v>
          </cell>
          <cell r="E372" t="str">
            <v>m²</v>
          </cell>
          <cell r="F372">
            <v>20</v>
          </cell>
          <cell r="G372">
            <v>20</v>
          </cell>
          <cell r="H372">
            <v>0</v>
          </cell>
          <cell r="I372">
            <v>20</v>
          </cell>
        </row>
        <row r="373">
          <cell r="A373" t="str">
            <v>H%FH</v>
          </cell>
          <cell r="B373" t="str">
            <v>Otros</v>
          </cell>
          <cell r="C373" t="str">
            <v>Factor Herramientas</v>
          </cell>
          <cell r="D373">
            <v>1</v>
          </cell>
          <cell r="E373" t="str">
            <v>%</v>
          </cell>
          <cell r="F373">
            <v>40</v>
          </cell>
          <cell r="G373">
            <v>0.4</v>
          </cell>
          <cell r="H373">
            <v>0</v>
          </cell>
          <cell r="I373">
            <v>0.4</v>
          </cell>
        </row>
        <row r="374">
          <cell r="A374">
            <v>0</v>
          </cell>
          <cell r="B374">
            <v>0</v>
          </cell>
          <cell r="C374" t="str">
            <v>Total 01.05.03</v>
          </cell>
          <cell r="D374">
            <v>1</v>
          </cell>
          <cell r="E374">
            <v>0</v>
          </cell>
          <cell r="G374">
            <v>104.267032</v>
          </cell>
          <cell r="H374">
            <v>11.49606576</v>
          </cell>
          <cell r="I374">
            <v>115.76309776000001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01.05.04</v>
          </cell>
          <cell r="B376" t="str">
            <v>Partida</v>
          </cell>
          <cell r="C376" t="str">
            <v>Estrías en superficie de Pared,  Fachada Exterior</v>
          </cell>
          <cell r="D376">
            <v>1</v>
          </cell>
          <cell r="E376" t="str">
            <v>m</v>
          </cell>
          <cell r="F376">
            <v>0</v>
          </cell>
          <cell r="G376">
            <v>121.956796</v>
          </cell>
          <cell r="H376">
            <v>6.4992232799999989</v>
          </cell>
          <cell r="I376">
            <v>128.45601927999999</v>
          </cell>
        </row>
        <row r="377">
          <cell r="A377" t="str">
            <v>P0603001</v>
          </cell>
          <cell r="B377" t="str">
            <v>Material</v>
          </cell>
          <cell r="C377" t="str">
            <v>Cal hidratada, funda de 50 Lbs</v>
          </cell>
          <cell r="D377">
            <v>3.2000000000000002E-3</v>
          </cell>
          <cell r="E377" t="str">
            <v>fd</v>
          </cell>
          <cell r="F377">
            <v>213.4</v>
          </cell>
          <cell r="G377">
            <v>0.68288000000000004</v>
          </cell>
          <cell r="H377">
            <v>0.1229184</v>
          </cell>
          <cell r="I377">
            <v>0.80579840000000003</v>
          </cell>
        </row>
        <row r="378">
          <cell r="A378" t="str">
            <v>P0601003</v>
          </cell>
          <cell r="B378" t="str">
            <v>Material</v>
          </cell>
          <cell r="C378" t="str">
            <v>Cemento Gris 94 lbs. Tipo Portland</v>
          </cell>
          <cell r="D378">
            <v>9.4999999999999998E-3</v>
          </cell>
          <cell r="E378" t="str">
            <v>fd</v>
          </cell>
          <cell r="F378">
            <v>295</v>
          </cell>
          <cell r="G378">
            <v>2.8024999999999998</v>
          </cell>
          <cell r="H378">
            <v>0.50444999999999995</v>
          </cell>
          <cell r="I378">
            <v>3.3069499999999996</v>
          </cell>
        </row>
        <row r="379">
          <cell r="A379" t="str">
            <v>P0201005</v>
          </cell>
          <cell r="B379" t="str">
            <v>Material</v>
          </cell>
          <cell r="C379" t="str">
            <v>Arena fina p/pañete</v>
          </cell>
          <cell r="D379">
            <v>1.1000000000000001E-3</v>
          </cell>
          <cell r="E379" t="str">
            <v>m³</v>
          </cell>
          <cell r="F379">
            <v>1200</v>
          </cell>
          <cell r="G379">
            <v>1.32</v>
          </cell>
          <cell r="H379">
            <v>0.23760000000000001</v>
          </cell>
          <cell r="I379">
            <v>1.5576000000000001</v>
          </cell>
        </row>
        <row r="380">
          <cell r="A380" t="str">
            <v>P2403199</v>
          </cell>
          <cell r="B380" t="str">
            <v>Material</v>
          </cell>
          <cell r="C380" t="str">
            <v>Agua</v>
          </cell>
          <cell r="D380">
            <v>4.5199999999999997E-2</v>
          </cell>
          <cell r="E380" t="str">
            <v>gl</v>
          </cell>
          <cell r="F380">
            <v>1.58</v>
          </cell>
          <cell r="G380">
            <v>7.1415999999999993E-2</v>
          </cell>
          <cell r="H380">
            <v>1.2854879999999999E-2</v>
          </cell>
          <cell r="I380">
            <v>8.4270879999999992E-2</v>
          </cell>
        </row>
        <row r="381">
          <cell r="A381" t="str">
            <v>P0301001</v>
          </cell>
          <cell r="B381" t="str">
            <v>Material</v>
          </cell>
          <cell r="C381" t="str">
            <v>Pino Americano Bruto 1"x4"</v>
          </cell>
          <cell r="D381">
            <v>0.03</v>
          </cell>
          <cell r="E381" t="str">
            <v>p²</v>
          </cell>
          <cell r="F381">
            <v>41</v>
          </cell>
          <cell r="G381">
            <v>1.23</v>
          </cell>
          <cell r="H381">
            <v>0.22139999999999999</v>
          </cell>
          <cell r="I381">
            <v>1.4514</v>
          </cell>
        </row>
        <row r="382">
          <cell r="A382" t="str">
            <v>P3402502</v>
          </cell>
          <cell r="B382" t="str">
            <v>Material</v>
          </cell>
          <cell r="C382" t="str">
            <v>Perfil "u" Aluminio 3/4"</v>
          </cell>
          <cell r="D382">
            <v>1</v>
          </cell>
          <cell r="E382" t="str">
            <v>m</v>
          </cell>
          <cell r="F382">
            <v>30</v>
          </cell>
          <cell r="G382">
            <v>30</v>
          </cell>
          <cell r="H382">
            <v>5.3999999999999995</v>
          </cell>
          <cell r="I382">
            <v>35.4</v>
          </cell>
        </row>
        <row r="383">
          <cell r="A383" t="str">
            <v>H0330312</v>
          </cell>
          <cell r="B383" t="str">
            <v>Mano de obra</v>
          </cell>
          <cell r="C383" t="str">
            <v>M.O. Construcción de Estrías en Fachada</v>
          </cell>
          <cell r="D383">
            <v>1</v>
          </cell>
          <cell r="E383" t="str">
            <v>m</v>
          </cell>
          <cell r="F383">
            <v>85</v>
          </cell>
          <cell r="G383">
            <v>85</v>
          </cell>
          <cell r="H383">
            <v>0</v>
          </cell>
          <cell r="I383">
            <v>85</v>
          </cell>
        </row>
        <row r="384">
          <cell r="A384" t="str">
            <v>H%FH</v>
          </cell>
          <cell r="B384" t="str">
            <v>Otros</v>
          </cell>
          <cell r="C384" t="str">
            <v>Factor Herramientas</v>
          </cell>
          <cell r="D384">
            <v>1</v>
          </cell>
          <cell r="E384" t="str">
            <v>%</v>
          </cell>
          <cell r="F384">
            <v>85</v>
          </cell>
          <cell r="G384">
            <v>0.85</v>
          </cell>
          <cell r="H384">
            <v>0</v>
          </cell>
          <cell r="I384">
            <v>0.85</v>
          </cell>
        </row>
        <row r="385">
          <cell r="A385">
            <v>0</v>
          </cell>
          <cell r="B385">
            <v>0</v>
          </cell>
          <cell r="C385" t="str">
            <v>Total 01.05.04</v>
          </cell>
          <cell r="D385">
            <v>1</v>
          </cell>
          <cell r="E385">
            <v>0</v>
          </cell>
          <cell r="F385">
            <v>0</v>
          </cell>
          <cell r="G385">
            <v>121.956796</v>
          </cell>
          <cell r="H385">
            <v>6.4992232799999989</v>
          </cell>
          <cell r="I385">
            <v>128.45601927999999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A387" t="str">
            <v>01.05.06</v>
          </cell>
          <cell r="B387" t="str">
            <v>Partida</v>
          </cell>
          <cell r="C387" t="str">
            <v>Pañete exterior</v>
          </cell>
          <cell r="D387">
            <v>1</v>
          </cell>
          <cell r="E387" t="str">
            <v>m²</v>
          </cell>
          <cell r="F387">
            <v>0</v>
          </cell>
          <cell r="G387">
            <v>279.08710000000002</v>
          </cell>
          <cell r="H387">
            <v>28.419678000000001</v>
          </cell>
          <cell r="I387">
            <v>307.506778</v>
          </cell>
        </row>
        <row r="388">
          <cell r="A388" t="str">
            <v>P0603001</v>
          </cell>
          <cell r="B388" t="str">
            <v>Material</v>
          </cell>
          <cell r="C388" t="str">
            <v>Cal hidratada, funda de 50 Lbs</v>
          </cell>
          <cell r="D388">
            <v>6.9000000000000006E-2</v>
          </cell>
          <cell r="E388" t="str">
            <v>fd</v>
          </cell>
          <cell r="F388">
            <v>213.4</v>
          </cell>
          <cell r="G388">
            <v>14.724600000000002</v>
          </cell>
          <cell r="H388">
            <v>2.6504280000000002</v>
          </cell>
          <cell r="I388">
            <v>17.375028000000004</v>
          </cell>
        </row>
        <row r="389">
          <cell r="A389" t="str">
            <v>P0601003</v>
          </cell>
          <cell r="B389" t="str">
            <v>Material</v>
          </cell>
          <cell r="C389" t="str">
            <v>Cemento Gris 94 lbs. Tipo Portland</v>
          </cell>
          <cell r="D389">
            <v>0.34499999999999997</v>
          </cell>
          <cell r="E389" t="str">
            <v>fd</v>
          </cell>
          <cell r="F389">
            <v>295</v>
          </cell>
          <cell r="G389">
            <v>101.77499999999999</v>
          </cell>
          <cell r="H389">
            <v>18.319499999999998</v>
          </cell>
          <cell r="I389">
            <v>120.09449999999998</v>
          </cell>
        </row>
        <row r="390">
          <cell r="A390" t="str">
            <v>P0201005</v>
          </cell>
          <cell r="B390" t="str">
            <v>Material</v>
          </cell>
          <cell r="C390" t="str">
            <v>Arena fina p/pañete</v>
          </cell>
          <cell r="D390">
            <v>3.1300000000000001E-2</v>
          </cell>
          <cell r="E390" t="str">
            <v>m³</v>
          </cell>
          <cell r="F390">
            <v>1200</v>
          </cell>
          <cell r="G390">
            <v>37.56</v>
          </cell>
          <cell r="H390">
            <v>6.7608000000000006</v>
          </cell>
          <cell r="I390">
            <v>44.320800000000006</v>
          </cell>
        </row>
        <row r="391">
          <cell r="A391" t="str">
            <v>P2403199</v>
          </cell>
          <cell r="B391" t="str">
            <v>Material</v>
          </cell>
          <cell r="C391" t="str">
            <v>Agua</v>
          </cell>
          <cell r="D391">
            <v>1.5</v>
          </cell>
          <cell r="E391" t="str">
            <v>gl</v>
          </cell>
          <cell r="F391">
            <v>1.58</v>
          </cell>
          <cell r="G391">
            <v>2.37</v>
          </cell>
          <cell r="H391">
            <v>0.42659999999999998</v>
          </cell>
          <cell r="I391">
            <v>2.7966000000000002</v>
          </cell>
        </row>
        <row r="392">
          <cell r="A392" t="str">
            <v>P0701003</v>
          </cell>
          <cell r="B392" t="str">
            <v>Material</v>
          </cell>
          <cell r="C392" t="str">
            <v>Regla para pañete de PATC</v>
          </cell>
          <cell r="D392">
            <v>2.6499999999999999E-2</v>
          </cell>
          <cell r="E392" t="str">
            <v>p²</v>
          </cell>
          <cell r="F392">
            <v>55.000000000000007</v>
          </cell>
          <cell r="G392">
            <v>1.4575000000000002</v>
          </cell>
          <cell r="H392">
            <v>0.26235000000000003</v>
          </cell>
          <cell r="I392">
            <v>1.7198500000000003</v>
          </cell>
        </row>
        <row r="393">
          <cell r="A393" t="str">
            <v>H0330301</v>
          </cell>
          <cell r="B393" t="str">
            <v>Mano de obra</v>
          </cell>
          <cell r="C393" t="str">
            <v>M.O. Pañete Muro Exterior</v>
          </cell>
          <cell r="D393">
            <v>1</v>
          </cell>
          <cell r="E393" t="str">
            <v>m²</v>
          </cell>
          <cell r="F393">
            <v>120</v>
          </cell>
          <cell r="G393">
            <v>120</v>
          </cell>
          <cell r="H393">
            <v>0</v>
          </cell>
          <cell r="I393">
            <v>120</v>
          </cell>
        </row>
        <row r="394">
          <cell r="A394" t="str">
            <v>H%FH</v>
          </cell>
          <cell r="B394" t="str">
            <v>Otros</v>
          </cell>
          <cell r="C394" t="str">
            <v>Factor Herramientas</v>
          </cell>
          <cell r="D394">
            <v>1</v>
          </cell>
          <cell r="E394" t="str">
            <v>%</v>
          </cell>
          <cell r="F394">
            <v>120</v>
          </cell>
          <cell r="G394">
            <v>1.2</v>
          </cell>
          <cell r="H394">
            <v>0</v>
          </cell>
          <cell r="I394">
            <v>1.2</v>
          </cell>
        </row>
        <row r="395">
          <cell r="A395">
            <v>0</v>
          </cell>
          <cell r="B395">
            <v>0</v>
          </cell>
          <cell r="C395" t="str">
            <v>Total 01.05.06</v>
          </cell>
          <cell r="D395">
            <v>1</v>
          </cell>
          <cell r="E395">
            <v>0</v>
          </cell>
          <cell r="F395">
            <v>0</v>
          </cell>
          <cell r="G395">
            <v>279.08710000000002</v>
          </cell>
          <cell r="H395">
            <v>28.419678000000001</v>
          </cell>
          <cell r="I395">
            <v>307.506778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01.05.07</v>
          </cell>
          <cell r="B397" t="str">
            <v>Partida</v>
          </cell>
          <cell r="C397" t="str">
            <v>Pañete interior</v>
          </cell>
          <cell r="D397">
            <v>1</v>
          </cell>
          <cell r="E397" t="str">
            <v>m²</v>
          </cell>
          <cell r="F397">
            <v>0</v>
          </cell>
          <cell r="G397">
            <v>247.75317999999999</v>
          </cell>
          <cell r="H397">
            <v>22.779572399999999</v>
          </cell>
          <cell r="I397">
            <v>270.53275239999999</v>
          </cell>
        </row>
        <row r="398">
          <cell r="A398" t="str">
            <v>P0603001</v>
          </cell>
          <cell r="B398" t="str">
            <v>Material</v>
          </cell>
          <cell r="C398" t="str">
            <v>Cal hidratada, funda de 50 Lbs</v>
          </cell>
          <cell r="D398">
            <v>5.5199999999999999E-2</v>
          </cell>
          <cell r="E398" t="str">
            <v>fd</v>
          </cell>
          <cell r="F398">
            <v>213.4</v>
          </cell>
          <cell r="G398">
            <v>11.779680000000001</v>
          </cell>
          <cell r="H398">
            <v>2.1203424000000002</v>
          </cell>
          <cell r="I398">
            <v>13.900022400000001</v>
          </cell>
        </row>
        <row r="399">
          <cell r="A399" t="str">
            <v>P0601003</v>
          </cell>
          <cell r="B399" t="str">
            <v>Material</v>
          </cell>
          <cell r="C399" t="str">
            <v>Cemento Gris 94 lbs. Tipo Portland</v>
          </cell>
          <cell r="D399">
            <v>0.27600000000000002</v>
          </cell>
          <cell r="E399" t="str">
            <v>fd</v>
          </cell>
          <cell r="F399">
            <v>295</v>
          </cell>
          <cell r="G399">
            <v>81.42</v>
          </cell>
          <cell r="H399">
            <v>14.6556</v>
          </cell>
          <cell r="I399">
            <v>96.075600000000009</v>
          </cell>
        </row>
        <row r="400">
          <cell r="A400" t="str">
            <v>P0201005</v>
          </cell>
          <cell r="B400" t="str">
            <v>Material</v>
          </cell>
          <cell r="C400" t="str">
            <v>Arena fina p/pañete</v>
          </cell>
          <cell r="D400">
            <v>2.5000000000000001E-2</v>
          </cell>
          <cell r="E400" t="str">
            <v>m³</v>
          </cell>
          <cell r="F400">
            <v>1200</v>
          </cell>
          <cell r="G400">
            <v>30</v>
          </cell>
          <cell r="H400">
            <v>5.3999999999999995</v>
          </cell>
          <cell r="I400">
            <v>35.4</v>
          </cell>
        </row>
        <row r="401">
          <cell r="A401" t="str">
            <v>P2403199</v>
          </cell>
          <cell r="B401" t="str">
            <v>Material</v>
          </cell>
          <cell r="C401" t="str">
            <v>Agua</v>
          </cell>
          <cell r="D401">
            <v>1.2</v>
          </cell>
          <cell r="E401" t="str">
            <v>gl</v>
          </cell>
          <cell r="F401">
            <v>1.58</v>
          </cell>
          <cell r="G401">
            <v>1.8959999999999999</v>
          </cell>
          <cell r="H401">
            <v>0.34127999999999997</v>
          </cell>
          <cell r="I401">
            <v>2.2372799999999997</v>
          </cell>
        </row>
        <row r="402">
          <cell r="A402" t="str">
            <v>P0701003</v>
          </cell>
          <cell r="B402" t="str">
            <v>Material</v>
          </cell>
          <cell r="C402" t="str">
            <v>Regla para pañete de PATC</v>
          </cell>
          <cell r="D402">
            <v>2.6499999999999999E-2</v>
          </cell>
          <cell r="E402" t="str">
            <v>p²</v>
          </cell>
          <cell r="F402">
            <v>55.000000000000007</v>
          </cell>
          <cell r="G402">
            <v>1.4575000000000002</v>
          </cell>
          <cell r="H402">
            <v>0.26235000000000003</v>
          </cell>
          <cell r="I402">
            <v>1.7198500000000003</v>
          </cell>
        </row>
        <row r="403">
          <cell r="A403" t="str">
            <v>H0330300</v>
          </cell>
          <cell r="B403" t="str">
            <v>Mano de obra</v>
          </cell>
          <cell r="C403" t="str">
            <v>M.O. Pañete Muro Interior</v>
          </cell>
          <cell r="D403">
            <v>1</v>
          </cell>
          <cell r="E403" t="str">
            <v>m²</v>
          </cell>
          <cell r="F403">
            <v>120</v>
          </cell>
          <cell r="G403">
            <v>120</v>
          </cell>
          <cell r="H403">
            <v>0</v>
          </cell>
          <cell r="I403">
            <v>120</v>
          </cell>
        </row>
        <row r="404">
          <cell r="A404" t="str">
            <v>H%FH</v>
          </cell>
          <cell r="B404" t="str">
            <v>Otros</v>
          </cell>
          <cell r="C404" t="str">
            <v>Factor Herramientas</v>
          </cell>
          <cell r="D404">
            <v>1</v>
          </cell>
          <cell r="E404" t="str">
            <v>%</v>
          </cell>
          <cell r="F404">
            <v>120</v>
          </cell>
          <cell r="G404">
            <v>1.2</v>
          </cell>
          <cell r="H404">
            <v>0</v>
          </cell>
          <cell r="I404">
            <v>1.2</v>
          </cell>
        </row>
        <row r="405">
          <cell r="A405">
            <v>0</v>
          </cell>
          <cell r="B405">
            <v>0</v>
          </cell>
          <cell r="C405" t="str">
            <v>Total 01.05.07</v>
          </cell>
          <cell r="D405">
            <v>1</v>
          </cell>
          <cell r="E405">
            <v>0</v>
          </cell>
          <cell r="F405">
            <v>0</v>
          </cell>
          <cell r="G405">
            <v>247.75317999999999</v>
          </cell>
          <cell r="H405">
            <v>22.779572399999999</v>
          </cell>
          <cell r="I405">
            <v>270.53275239999999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01.05.08</v>
          </cell>
          <cell r="B407" t="str">
            <v>Partida</v>
          </cell>
          <cell r="C407" t="str">
            <v>Pañete liso en techo</v>
          </cell>
          <cell r="D407">
            <v>1</v>
          </cell>
          <cell r="E407" t="str">
            <v>m²</v>
          </cell>
          <cell r="F407">
            <v>0</v>
          </cell>
          <cell r="G407">
            <v>216.53925999999998</v>
          </cell>
          <cell r="H407">
            <v>17.161066800000004</v>
          </cell>
          <cell r="I407">
            <v>233.70032679999997</v>
          </cell>
        </row>
        <row r="408">
          <cell r="A408" t="str">
            <v>P0603001</v>
          </cell>
          <cell r="B408" t="str">
            <v>Material</v>
          </cell>
          <cell r="C408" t="str">
            <v>Cal hidratada, funda de 50 Lbs</v>
          </cell>
          <cell r="D408">
            <v>4.1399999999999999E-2</v>
          </cell>
          <cell r="E408" t="str">
            <v>fd</v>
          </cell>
          <cell r="F408">
            <v>213.4</v>
          </cell>
          <cell r="G408">
            <v>8.8347599999999993</v>
          </cell>
          <cell r="H408">
            <v>1.5902567999999999</v>
          </cell>
          <cell r="I408">
            <v>10.4250168</v>
          </cell>
        </row>
        <row r="409">
          <cell r="A409" t="str">
            <v>P0601003</v>
          </cell>
          <cell r="B409" t="str">
            <v>Material</v>
          </cell>
          <cell r="C409" t="str">
            <v>Cemento Gris 94 lbs. Tipo Portland</v>
          </cell>
          <cell r="D409">
            <v>0.20699999999999999</v>
          </cell>
          <cell r="E409" t="str">
            <v>fd</v>
          </cell>
          <cell r="F409">
            <v>295</v>
          </cell>
          <cell r="G409">
            <v>61.064999999999998</v>
          </cell>
          <cell r="H409">
            <v>10.9917</v>
          </cell>
          <cell r="I409">
            <v>72.056699999999992</v>
          </cell>
        </row>
        <row r="410">
          <cell r="A410" t="str">
            <v>P0201005</v>
          </cell>
          <cell r="B410" t="str">
            <v>Material</v>
          </cell>
          <cell r="C410" t="str">
            <v>Arena fina p/pañete</v>
          </cell>
          <cell r="D410">
            <v>1.8800000000000001E-2</v>
          </cell>
          <cell r="E410" t="str">
            <v>m³</v>
          </cell>
          <cell r="F410">
            <v>1200</v>
          </cell>
          <cell r="G410">
            <v>22.560000000000002</v>
          </cell>
          <cell r="H410">
            <v>4.0608000000000004</v>
          </cell>
          <cell r="I410">
            <v>26.620800000000003</v>
          </cell>
        </row>
        <row r="411">
          <cell r="A411" t="str">
            <v>P2403199</v>
          </cell>
          <cell r="B411" t="str">
            <v>Material</v>
          </cell>
          <cell r="C411" t="str">
            <v>Agua</v>
          </cell>
          <cell r="D411">
            <v>0.9</v>
          </cell>
          <cell r="E411" t="str">
            <v>gl</v>
          </cell>
          <cell r="F411">
            <v>1.58</v>
          </cell>
          <cell r="G411">
            <v>1.4220000000000002</v>
          </cell>
          <cell r="H411">
            <v>0.25596000000000002</v>
          </cell>
          <cell r="I411">
            <v>1.6779600000000001</v>
          </cell>
        </row>
        <row r="412">
          <cell r="A412" t="str">
            <v>P0701003</v>
          </cell>
          <cell r="B412" t="str">
            <v>Material</v>
          </cell>
          <cell r="C412" t="str">
            <v>Regla para pañete de PATC</v>
          </cell>
          <cell r="D412">
            <v>2.6499999999999999E-2</v>
          </cell>
          <cell r="E412" t="str">
            <v>p²</v>
          </cell>
          <cell r="F412">
            <v>55.000000000000007</v>
          </cell>
          <cell r="G412">
            <v>1.4575000000000002</v>
          </cell>
          <cell r="H412">
            <v>0.26235000000000003</v>
          </cell>
          <cell r="I412">
            <v>1.7198500000000003</v>
          </cell>
        </row>
        <row r="413">
          <cell r="A413" t="str">
            <v>H0330302</v>
          </cell>
          <cell r="B413" t="str">
            <v>Mano de obra</v>
          </cell>
          <cell r="C413" t="str">
            <v>M.O. Pañete losas y vuelos</v>
          </cell>
          <cell r="D413">
            <v>1</v>
          </cell>
          <cell r="E413" t="str">
            <v>m²</v>
          </cell>
          <cell r="F413">
            <v>120</v>
          </cell>
          <cell r="G413">
            <v>120</v>
          </cell>
          <cell r="H413">
            <v>0</v>
          </cell>
          <cell r="I413">
            <v>120</v>
          </cell>
        </row>
        <row r="414">
          <cell r="A414" t="str">
            <v>H%FH</v>
          </cell>
          <cell r="B414" t="str">
            <v>Otros</v>
          </cell>
          <cell r="C414" t="str">
            <v>Factor Herramientas</v>
          </cell>
          <cell r="D414">
            <v>1</v>
          </cell>
          <cell r="E414" t="str">
            <v>%</v>
          </cell>
          <cell r="F414">
            <v>120</v>
          </cell>
          <cell r="G414">
            <v>1.2</v>
          </cell>
          <cell r="H414">
            <v>0</v>
          </cell>
          <cell r="I414">
            <v>1.2</v>
          </cell>
        </row>
        <row r="415">
          <cell r="A415">
            <v>0</v>
          </cell>
          <cell r="B415">
            <v>0</v>
          </cell>
          <cell r="C415" t="str">
            <v>Total 01.05.08</v>
          </cell>
          <cell r="D415">
            <v>1</v>
          </cell>
          <cell r="E415">
            <v>0</v>
          </cell>
          <cell r="F415">
            <v>0</v>
          </cell>
          <cell r="G415">
            <v>216.53925999999998</v>
          </cell>
          <cell r="H415">
            <v>17.161066800000004</v>
          </cell>
          <cell r="I415">
            <v>233.70032679999997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01.05.09</v>
          </cell>
          <cell r="B417" t="str">
            <v>Partida</v>
          </cell>
          <cell r="C417" t="str">
            <v>Violinado en Superficie Exterior Ancho=0.15mt</v>
          </cell>
          <cell r="D417">
            <v>1</v>
          </cell>
          <cell r="E417" t="str">
            <v>m</v>
          </cell>
          <cell r="F417">
            <v>0</v>
          </cell>
          <cell r="G417">
            <v>104.774608</v>
          </cell>
          <cell r="H417">
            <v>3.4064294399999997</v>
          </cell>
          <cell r="I417">
            <v>108.18103744</v>
          </cell>
        </row>
        <row r="418">
          <cell r="A418" t="str">
            <v>P0603001</v>
          </cell>
          <cell r="B418" t="str">
            <v>Material</v>
          </cell>
          <cell r="C418" t="str">
            <v>Cal hidratada, funda de 50 Lbs</v>
          </cell>
          <cell r="D418">
            <v>7.92E-3</v>
          </cell>
          <cell r="E418" t="str">
            <v>fd</v>
          </cell>
          <cell r="F418">
            <v>213.4</v>
          </cell>
          <cell r="G418">
            <v>1.6901280000000001</v>
          </cell>
          <cell r="H418">
            <v>0.30422304</v>
          </cell>
          <cell r="I418">
            <v>1.9943510400000002</v>
          </cell>
        </row>
        <row r="419">
          <cell r="A419" t="str">
            <v>P0601003</v>
          </cell>
          <cell r="B419" t="str">
            <v>Material</v>
          </cell>
          <cell r="C419" t="str">
            <v>Cemento Gris 94 lbs. Tipo Portland</v>
          </cell>
          <cell r="D419">
            <v>3.9600000000000003E-2</v>
          </cell>
          <cell r="E419" t="str">
            <v>fd</v>
          </cell>
          <cell r="F419">
            <v>295</v>
          </cell>
          <cell r="G419">
            <v>11.682</v>
          </cell>
          <cell r="H419">
            <v>2.10276</v>
          </cell>
          <cell r="I419">
            <v>13.78476</v>
          </cell>
        </row>
        <row r="420">
          <cell r="A420" t="str">
            <v>P0201005</v>
          </cell>
          <cell r="B420" t="str">
            <v>Material</v>
          </cell>
          <cell r="C420" t="str">
            <v>Arena fina p/pañete</v>
          </cell>
          <cell r="D420">
            <v>3.4499999999999999E-3</v>
          </cell>
          <cell r="E420" t="str">
            <v>m³</v>
          </cell>
          <cell r="F420">
            <v>1200</v>
          </cell>
          <cell r="G420">
            <v>4.1399999999999997</v>
          </cell>
          <cell r="H420">
            <v>0.74519999999999986</v>
          </cell>
          <cell r="I420">
            <v>4.8851999999999993</v>
          </cell>
        </row>
        <row r="421">
          <cell r="A421" t="str">
            <v>P2403199</v>
          </cell>
          <cell r="B421" t="str">
            <v>Material</v>
          </cell>
          <cell r="C421" t="str">
            <v>Agua</v>
          </cell>
          <cell r="D421">
            <v>0.156</v>
          </cell>
          <cell r="E421" t="str">
            <v>gl</v>
          </cell>
          <cell r="F421">
            <v>1.58</v>
          </cell>
          <cell r="G421">
            <v>0.24648</v>
          </cell>
          <cell r="H421">
            <v>4.43664E-2</v>
          </cell>
          <cell r="I421">
            <v>0.2908464</v>
          </cell>
        </row>
        <row r="422">
          <cell r="A422" t="str">
            <v>P0701003</v>
          </cell>
          <cell r="B422" t="str">
            <v>Material</v>
          </cell>
          <cell r="C422" t="str">
            <v>Regla para pañete de PATC</v>
          </cell>
          <cell r="D422">
            <v>2.12E-2</v>
          </cell>
          <cell r="E422" t="str">
            <v>p²</v>
          </cell>
          <cell r="F422">
            <v>55.000000000000007</v>
          </cell>
          <cell r="G422">
            <v>1.1660000000000001</v>
          </cell>
          <cell r="H422">
            <v>0.20988000000000001</v>
          </cell>
          <cell r="I422">
            <v>1.3758800000000002</v>
          </cell>
        </row>
        <row r="423">
          <cell r="A423" t="str">
            <v>H0330309</v>
          </cell>
          <cell r="B423" t="str">
            <v>Mano de obra</v>
          </cell>
          <cell r="C423" t="str">
            <v>M.O. Construcción Violinado Exterior A=0.15m</v>
          </cell>
          <cell r="D423">
            <v>1</v>
          </cell>
          <cell r="E423" t="str">
            <v>m</v>
          </cell>
          <cell r="F423">
            <v>85</v>
          </cell>
          <cell r="G423">
            <v>85</v>
          </cell>
          <cell r="H423">
            <v>0</v>
          </cell>
          <cell r="I423">
            <v>85</v>
          </cell>
        </row>
        <row r="424">
          <cell r="A424" t="str">
            <v>H%FH</v>
          </cell>
          <cell r="B424" t="str">
            <v>Otros</v>
          </cell>
          <cell r="C424" t="str">
            <v>Factor Herramientas</v>
          </cell>
          <cell r="D424">
            <v>1</v>
          </cell>
          <cell r="E424" t="str">
            <v>%</v>
          </cell>
          <cell r="F424">
            <v>85</v>
          </cell>
          <cell r="G424">
            <v>0.85</v>
          </cell>
          <cell r="H424">
            <v>0</v>
          </cell>
          <cell r="I424">
            <v>0.85</v>
          </cell>
        </row>
        <row r="425">
          <cell r="A425">
            <v>0</v>
          </cell>
          <cell r="B425">
            <v>0</v>
          </cell>
          <cell r="C425" t="str">
            <v>Total 01.05.09</v>
          </cell>
          <cell r="D425">
            <v>1</v>
          </cell>
          <cell r="E425">
            <v>0</v>
          </cell>
          <cell r="F425">
            <v>0</v>
          </cell>
          <cell r="G425">
            <v>104.774608</v>
          </cell>
          <cell r="H425">
            <v>3.4064294399999997</v>
          </cell>
          <cell r="I425">
            <v>108.18103744</v>
          </cell>
        </row>
        <row r="426">
          <cell r="A426" t="str">
            <v>01.05.10</v>
          </cell>
          <cell r="B426" t="str">
            <v>Partida</v>
          </cell>
          <cell r="C426" t="str">
            <v>Gotero Colgante</v>
          </cell>
          <cell r="D426">
            <v>1</v>
          </cell>
          <cell r="E426" t="str">
            <v>m</v>
          </cell>
          <cell r="F426">
            <v>0</v>
          </cell>
          <cell r="G426">
            <v>163.88825</v>
          </cell>
          <cell r="H426">
            <v>14.046885</v>
          </cell>
          <cell r="I426">
            <v>177.935135</v>
          </cell>
        </row>
        <row r="427">
          <cell r="A427" t="str">
            <v>P0603001</v>
          </cell>
          <cell r="B427" t="str">
            <v>Material</v>
          </cell>
          <cell r="C427" t="str">
            <v>Cal hidratada, funda de 50 Lbs</v>
          </cell>
          <cell r="D427">
            <v>3.9375E-2</v>
          </cell>
          <cell r="E427" t="str">
            <v>fd</v>
          </cell>
          <cell r="F427">
            <v>213.4</v>
          </cell>
          <cell r="G427">
            <v>8.4026250000000005</v>
          </cell>
          <cell r="H427">
            <v>1.5124725000000001</v>
          </cell>
          <cell r="I427">
            <v>9.9150974999999999</v>
          </cell>
        </row>
        <row r="428">
          <cell r="A428" t="str">
            <v>P0601003</v>
          </cell>
          <cell r="B428" t="str">
            <v>Material</v>
          </cell>
          <cell r="C428" t="str">
            <v>Cemento Gris 94 lbs. Tipo Portland</v>
          </cell>
          <cell r="D428">
            <v>0.11812499999999999</v>
          </cell>
          <cell r="E428" t="str">
            <v>fd</v>
          </cell>
          <cell r="F428">
            <v>295</v>
          </cell>
          <cell r="G428">
            <v>34.846874999999997</v>
          </cell>
          <cell r="H428">
            <v>6.2724374999999997</v>
          </cell>
          <cell r="I428">
            <v>41.119312499999999</v>
          </cell>
        </row>
        <row r="429">
          <cell r="A429" t="str">
            <v>P0201005</v>
          </cell>
          <cell r="B429" t="str">
            <v>Material</v>
          </cell>
          <cell r="C429" t="str">
            <v>Arena fina p/pañete</v>
          </cell>
          <cell r="D429">
            <v>1.3125000000000001E-2</v>
          </cell>
          <cell r="E429" t="str">
            <v>m³</v>
          </cell>
          <cell r="F429">
            <v>1200</v>
          </cell>
          <cell r="G429">
            <v>15.750000000000002</v>
          </cell>
          <cell r="H429">
            <v>2.8350000000000004</v>
          </cell>
          <cell r="I429">
            <v>18.585000000000001</v>
          </cell>
        </row>
        <row r="430">
          <cell r="A430" t="str">
            <v>P2403199</v>
          </cell>
          <cell r="B430" t="str">
            <v>Material</v>
          </cell>
          <cell r="C430" t="str">
            <v>Agua</v>
          </cell>
          <cell r="D430">
            <v>0.5625</v>
          </cell>
          <cell r="E430" t="str">
            <v>gl</v>
          </cell>
          <cell r="F430">
            <v>1.58</v>
          </cell>
          <cell r="G430">
            <v>0.88875000000000004</v>
          </cell>
          <cell r="H430">
            <v>0.15997500000000001</v>
          </cell>
          <cell r="I430">
            <v>1.0487250000000001</v>
          </cell>
        </row>
        <row r="431">
          <cell r="A431" t="str">
            <v>P0701003</v>
          </cell>
          <cell r="B431" t="str">
            <v>Material</v>
          </cell>
          <cell r="C431" t="str">
            <v>Regla para pañete de PATC</v>
          </cell>
          <cell r="D431">
            <v>0.33</v>
          </cell>
          <cell r="E431" t="str">
            <v>p²</v>
          </cell>
          <cell r="F431">
            <v>55.000000000000007</v>
          </cell>
          <cell r="G431">
            <v>18.150000000000002</v>
          </cell>
          <cell r="H431">
            <v>3.2670000000000003</v>
          </cell>
          <cell r="I431">
            <v>21.417000000000002</v>
          </cell>
        </row>
        <row r="432">
          <cell r="A432" t="str">
            <v>H0330425</v>
          </cell>
          <cell r="B432" t="str">
            <v>Mano de obra</v>
          </cell>
          <cell r="C432" t="str">
            <v>M.O. Construcción de Gotero Colgante</v>
          </cell>
          <cell r="D432">
            <v>1</v>
          </cell>
          <cell r="E432" t="str">
            <v>m</v>
          </cell>
          <cell r="F432">
            <v>85</v>
          </cell>
          <cell r="G432">
            <v>85</v>
          </cell>
          <cell r="H432">
            <v>0</v>
          </cell>
          <cell r="I432">
            <v>85</v>
          </cell>
        </row>
        <row r="433">
          <cell r="A433" t="str">
            <v>H%FH</v>
          </cell>
          <cell r="B433" t="str">
            <v>Otros</v>
          </cell>
          <cell r="C433" t="str">
            <v>Factor Herramientas</v>
          </cell>
          <cell r="D433">
            <v>1</v>
          </cell>
          <cell r="E433" t="str">
            <v>%</v>
          </cell>
          <cell r="F433">
            <v>85</v>
          </cell>
          <cell r="G433">
            <v>0.85</v>
          </cell>
          <cell r="H433">
            <v>0</v>
          </cell>
          <cell r="I433">
            <v>0.85</v>
          </cell>
        </row>
        <row r="434">
          <cell r="A434">
            <v>0</v>
          </cell>
          <cell r="B434">
            <v>0</v>
          </cell>
          <cell r="C434" t="str">
            <v>Total 01.05.10</v>
          </cell>
          <cell r="D434">
            <v>1</v>
          </cell>
          <cell r="E434">
            <v>0</v>
          </cell>
          <cell r="G434">
            <v>163.88825</v>
          </cell>
          <cell r="H434">
            <v>14.046885</v>
          </cell>
          <cell r="I434">
            <v>177.935135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01.06</v>
          </cell>
          <cell r="B438" t="str">
            <v>Capítulo</v>
          </cell>
          <cell r="C438" t="str">
            <v>TERMINACION DE PISOS :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01.06.01</v>
          </cell>
          <cell r="B439" t="str">
            <v>Partida</v>
          </cell>
          <cell r="C439" t="str">
            <v>Piso  de hormigón armado frotado, e=10 cms Hormigón 210 kg/cm2  industrial</v>
          </cell>
          <cell r="D439">
            <v>1</v>
          </cell>
          <cell r="E439" t="str">
            <v>m²</v>
          </cell>
          <cell r="F439">
            <v>0</v>
          </cell>
          <cell r="G439">
            <v>790.65808766666669</v>
          </cell>
          <cell r="H439">
            <v>124.01418972</v>
          </cell>
          <cell r="I439">
            <v>914.67227738666668</v>
          </cell>
        </row>
        <row r="440">
          <cell r="A440" t="str">
            <v>P0602008</v>
          </cell>
          <cell r="B440" t="str">
            <v>Material</v>
          </cell>
          <cell r="C440" t="str">
            <v>Hormigón Industrial H210 kg/cm2, Bombeado</v>
          </cell>
          <cell r="D440">
            <v>0.107</v>
          </cell>
          <cell r="E440" t="str">
            <v>m³</v>
          </cell>
          <cell r="F440">
            <v>4845.76</v>
          </cell>
          <cell r="G440">
            <v>518.49631999999997</v>
          </cell>
          <cell r="H440">
            <v>93.329337599999988</v>
          </cell>
          <cell r="I440">
            <v>611.8256576</v>
          </cell>
        </row>
        <row r="441">
          <cell r="A441" t="str">
            <v>P0402001</v>
          </cell>
          <cell r="B441" t="str">
            <v>Material</v>
          </cell>
          <cell r="C441" t="str">
            <v>Acero Malla D2.3xD2.3 (100x100)  Rollo 2.4x40 4.93qq</v>
          </cell>
          <cell r="D441">
            <v>1.1000000000000001</v>
          </cell>
          <cell r="E441" t="str">
            <v>m²</v>
          </cell>
          <cell r="F441">
            <v>130.20833333333334</v>
          </cell>
          <cell r="G441">
            <v>143.22916666666669</v>
          </cell>
          <cell r="H441">
            <v>25.781250000000004</v>
          </cell>
          <cell r="I441">
            <v>169.01041666666669</v>
          </cell>
        </row>
        <row r="442">
          <cell r="A442" t="str">
            <v>P0418006</v>
          </cell>
          <cell r="B442" t="str">
            <v>Material</v>
          </cell>
          <cell r="C442" t="str">
            <v>Alambre galvanizado liso #18</v>
          </cell>
          <cell r="D442">
            <v>0.1028</v>
          </cell>
          <cell r="E442" t="str">
            <v>lb</v>
          </cell>
          <cell r="F442">
            <v>42.28</v>
          </cell>
          <cell r="G442">
            <v>4.3463840000000005</v>
          </cell>
          <cell r="H442">
            <v>0.78234912000000001</v>
          </cell>
          <cell r="I442">
            <v>5.1287331200000006</v>
          </cell>
        </row>
        <row r="443">
          <cell r="A443" t="str">
            <v>P0190101</v>
          </cell>
          <cell r="B443" t="str">
            <v>Material</v>
          </cell>
          <cell r="C443" t="str">
            <v>FiberMesh Vinaldom Polipropileno 1 1/2" (2Lb/m³)</v>
          </cell>
          <cell r="D443">
            <v>0.105</v>
          </cell>
          <cell r="E443" t="str">
            <v>lb</v>
          </cell>
          <cell r="F443">
            <v>215.52</v>
          </cell>
          <cell r="G443">
            <v>22.6296</v>
          </cell>
          <cell r="H443">
            <v>4.0733280000000001</v>
          </cell>
          <cell r="I443">
            <v>26.702928</v>
          </cell>
        </row>
        <row r="444">
          <cell r="A444" t="str">
            <v>P0190102</v>
          </cell>
          <cell r="B444" t="str">
            <v>Material</v>
          </cell>
          <cell r="C444" t="str">
            <v>SupraCure Plus Vinaldom 40m²/gl</v>
          </cell>
          <cell r="D444">
            <v>1.2500000000000001E-2</v>
          </cell>
          <cell r="E444" t="str">
            <v>gl</v>
          </cell>
          <cell r="F444">
            <v>21.3</v>
          </cell>
          <cell r="G444">
            <v>0.26625000000000004</v>
          </cell>
          <cell r="H444">
            <v>4.7925000000000009E-2</v>
          </cell>
          <cell r="I444">
            <v>0.31417500000000004</v>
          </cell>
        </row>
        <row r="445">
          <cell r="A445" t="str">
            <v>H0205059</v>
          </cell>
          <cell r="B445" t="str">
            <v>Mano de obra</v>
          </cell>
          <cell r="C445" t="str">
            <v>M.O. Preparación del Terreno</v>
          </cell>
          <cell r="D445">
            <v>1</v>
          </cell>
          <cell r="E445" t="str">
            <v>m²</v>
          </cell>
          <cell r="F445">
            <v>35</v>
          </cell>
          <cell r="G445">
            <v>35</v>
          </cell>
          <cell r="H445">
            <v>0</v>
          </cell>
          <cell r="I445">
            <v>35</v>
          </cell>
        </row>
        <row r="446">
          <cell r="A446" t="str">
            <v>H0302112</v>
          </cell>
          <cell r="B446" t="str">
            <v>Mano de obra</v>
          </cell>
          <cell r="C446" t="str">
            <v>M.O. Colocación Malla Electrosoldada</v>
          </cell>
          <cell r="D446">
            <v>1</v>
          </cell>
          <cell r="E446" t="str">
            <v>m²</v>
          </cell>
          <cell r="F446">
            <v>45</v>
          </cell>
          <cell r="G446">
            <v>45</v>
          </cell>
          <cell r="H446">
            <v>0</v>
          </cell>
          <cell r="I446">
            <v>45</v>
          </cell>
        </row>
        <row r="447">
          <cell r="A447" t="str">
            <v>H0510111</v>
          </cell>
          <cell r="B447" t="str">
            <v>Mano de obra</v>
          </cell>
          <cell r="C447" t="str">
            <v>M.O. Enc. Y Desc. Guardera Platea h=10 cm ( T.C )</v>
          </cell>
          <cell r="D447">
            <v>0.14019999999999999</v>
          </cell>
          <cell r="E447" t="str">
            <v>m</v>
          </cell>
          <cell r="F447">
            <v>120</v>
          </cell>
          <cell r="G447">
            <v>16.823999999999998</v>
          </cell>
          <cell r="H447">
            <v>0</v>
          </cell>
          <cell r="I447">
            <v>16.823999999999998</v>
          </cell>
        </row>
        <row r="448">
          <cell r="A448" t="str">
            <v>SC800001</v>
          </cell>
          <cell r="B448" t="str">
            <v>Otros</v>
          </cell>
          <cell r="C448" t="str">
            <v>Ensayos y pruebas de laboratorio hormigón (3 Probetas x c/45m3)</v>
          </cell>
          <cell r="D448">
            <v>6.7000000000000002E-3</v>
          </cell>
          <cell r="E448" t="str">
            <v>u</v>
          </cell>
          <cell r="F448">
            <v>581.80999999999995</v>
          </cell>
          <cell r="G448">
            <v>3.8981269999999997</v>
          </cell>
          <cell r="H448">
            <v>0</v>
          </cell>
          <cell r="I448">
            <v>3.8981269999999997</v>
          </cell>
        </row>
        <row r="449">
          <cell r="A449" t="str">
            <v>H%FH</v>
          </cell>
          <cell r="B449" t="str">
            <v>Otros</v>
          </cell>
          <cell r="C449" t="str">
            <v>Factor Herramientas</v>
          </cell>
          <cell r="D449">
            <v>1</v>
          </cell>
          <cell r="E449" t="str">
            <v>%</v>
          </cell>
          <cell r="F449">
            <v>96.823999999999998</v>
          </cell>
          <cell r="G449">
            <v>0.96823999999999999</v>
          </cell>
          <cell r="H449">
            <v>0</v>
          </cell>
          <cell r="I449">
            <v>0.96823999999999999</v>
          </cell>
        </row>
        <row r="450">
          <cell r="A450">
            <v>0</v>
          </cell>
          <cell r="B450">
            <v>0</v>
          </cell>
          <cell r="C450" t="str">
            <v>Total 01.06.01</v>
          </cell>
          <cell r="D450">
            <v>1</v>
          </cell>
          <cell r="E450">
            <v>0</v>
          </cell>
          <cell r="F450">
            <v>0</v>
          </cell>
          <cell r="G450">
            <v>790.65808766666669</v>
          </cell>
          <cell r="H450">
            <v>124.01418972</v>
          </cell>
          <cell r="I450">
            <v>914.67227738666668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01.06.02</v>
          </cell>
          <cell r="B452" t="str">
            <v>Partida</v>
          </cell>
          <cell r="C452" t="str">
            <v>Piso cemento pulido con intralok bonding agent terminado con helicoptero, espesor 0.05 mts</v>
          </cell>
          <cell r="D452">
            <v>1</v>
          </cell>
          <cell r="E452" t="str">
            <v>m²</v>
          </cell>
          <cell r="F452">
            <v>0</v>
          </cell>
          <cell r="G452">
            <v>818.959926</v>
          </cell>
          <cell r="H452">
            <v>109.23478668000001</v>
          </cell>
          <cell r="I452">
            <v>928.19471268000007</v>
          </cell>
        </row>
        <row r="453">
          <cell r="A453" t="str">
            <v>P2465459</v>
          </cell>
          <cell r="B453" t="str">
            <v>Material</v>
          </cell>
          <cell r="C453" t="str">
            <v>Intralok Bonding Agent, 4.18 m²/gl ~ 3.18 mm Esp.</v>
          </cell>
          <cell r="D453">
            <v>0.2392</v>
          </cell>
          <cell r="E453" t="str">
            <v>gl</v>
          </cell>
          <cell r="F453">
            <v>1335</v>
          </cell>
          <cell r="G453">
            <v>319.33199999999999</v>
          </cell>
          <cell r="H453">
            <v>57.479759999999999</v>
          </cell>
          <cell r="I453">
            <v>376.81175999999999</v>
          </cell>
        </row>
        <row r="454">
          <cell r="A454" t="str">
            <v>P2403199</v>
          </cell>
          <cell r="B454" t="str">
            <v>Material</v>
          </cell>
          <cell r="C454" t="str">
            <v>Agua</v>
          </cell>
          <cell r="D454">
            <v>0.2392</v>
          </cell>
          <cell r="E454" t="str">
            <v>gl</v>
          </cell>
          <cell r="F454">
            <v>1.58</v>
          </cell>
          <cell r="G454">
            <v>0.37793599999999999</v>
          </cell>
          <cell r="H454">
            <v>6.8028480000000002E-2</v>
          </cell>
          <cell r="I454">
            <v>0.44596448</v>
          </cell>
        </row>
        <row r="455">
          <cell r="A455" t="str">
            <v>P0201005</v>
          </cell>
          <cell r="B455" t="str">
            <v>Material</v>
          </cell>
          <cell r="C455" t="str">
            <v>Arena fina p/pañete</v>
          </cell>
          <cell r="D455">
            <v>1.8E-3</v>
          </cell>
          <cell r="E455" t="str">
            <v>m³</v>
          </cell>
          <cell r="F455">
            <v>1200</v>
          </cell>
          <cell r="G455">
            <v>2.16</v>
          </cell>
          <cell r="H455">
            <v>0.38880000000000003</v>
          </cell>
          <cell r="I455">
            <v>2.5488</v>
          </cell>
        </row>
        <row r="456">
          <cell r="A456" t="str">
            <v>P0601003</v>
          </cell>
          <cell r="B456" t="str">
            <v>Material</v>
          </cell>
          <cell r="C456" t="str">
            <v>Cemento Gris 94 lbs. Tipo Portland</v>
          </cell>
          <cell r="D456">
            <v>4.2500000000000003E-2</v>
          </cell>
          <cell r="E456" t="str">
            <v>fd</v>
          </cell>
          <cell r="F456">
            <v>295</v>
          </cell>
          <cell r="G456">
            <v>12.537500000000001</v>
          </cell>
          <cell r="H456">
            <v>2.2567500000000003</v>
          </cell>
          <cell r="I456">
            <v>14.794250000000002</v>
          </cell>
        </row>
        <row r="457">
          <cell r="A457" t="str">
            <v>P0602008</v>
          </cell>
          <cell r="B457" t="str">
            <v>Material</v>
          </cell>
          <cell r="C457" t="str">
            <v>Hormigón Industrial H210 kg/cm2, Bombeado</v>
          </cell>
          <cell r="D457">
            <v>5.1499999999999997E-2</v>
          </cell>
          <cell r="E457" t="str">
            <v>m³</v>
          </cell>
          <cell r="F457">
            <v>4845.76</v>
          </cell>
          <cell r="G457">
            <v>249.55663999999999</v>
          </cell>
          <cell r="H457">
            <v>44.920195199999995</v>
          </cell>
          <cell r="I457">
            <v>294.47683519999998</v>
          </cell>
        </row>
        <row r="458">
          <cell r="A458" t="str">
            <v>P0190101</v>
          </cell>
          <cell r="B458" t="str">
            <v>Material</v>
          </cell>
          <cell r="C458" t="str">
            <v>FiberMesh Vinaldom Polipropileno 1 1/2" (2Lb/m³)</v>
          </cell>
          <cell r="D458">
            <v>0.105</v>
          </cell>
          <cell r="E458" t="str">
            <v>lb</v>
          </cell>
          <cell r="F458">
            <v>215.52</v>
          </cell>
          <cell r="G458">
            <v>22.6296</v>
          </cell>
          <cell r="H458">
            <v>4.0733280000000001</v>
          </cell>
          <cell r="I458">
            <v>26.702928</v>
          </cell>
        </row>
        <row r="459">
          <cell r="A459" t="str">
            <v>P0190102</v>
          </cell>
          <cell r="B459" t="str">
            <v>Material</v>
          </cell>
          <cell r="C459" t="str">
            <v>SupraCure Plus Vinaldom 40m²/gl</v>
          </cell>
          <cell r="D459">
            <v>1.2500000000000001E-2</v>
          </cell>
          <cell r="E459" t="str">
            <v>gl</v>
          </cell>
          <cell r="F459">
            <v>21.3</v>
          </cell>
          <cell r="G459">
            <v>0.26625000000000004</v>
          </cell>
          <cell r="H459">
            <v>4.7925000000000009E-2</v>
          </cell>
          <cell r="I459">
            <v>0.31417500000000004</v>
          </cell>
        </row>
        <row r="460">
          <cell r="A460" t="str">
            <v>H0100112</v>
          </cell>
          <cell r="B460" t="str">
            <v>Mano de obra</v>
          </cell>
          <cell r="C460" t="str">
            <v>M.O. Mezclado y Colocación Lechada Adherente</v>
          </cell>
          <cell r="D460">
            <v>1</v>
          </cell>
          <cell r="E460" t="str">
            <v>m²</v>
          </cell>
          <cell r="F460">
            <v>35</v>
          </cell>
          <cell r="G460">
            <v>35</v>
          </cell>
          <cell r="H460">
            <v>0</v>
          </cell>
          <cell r="I460">
            <v>35</v>
          </cell>
        </row>
        <row r="461">
          <cell r="A461" t="str">
            <v>H0100105</v>
          </cell>
          <cell r="B461" t="str">
            <v>Mano de obra</v>
          </cell>
          <cell r="C461" t="str">
            <v>M.O. Colocación y Terminación Hormigón Pulido</v>
          </cell>
          <cell r="D461">
            <v>1</v>
          </cell>
          <cell r="E461" t="str">
            <v>m²</v>
          </cell>
          <cell r="F461">
            <v>175</v>
          </cell>
          <cell r="G461">
            <v>175</v>
          </cell>
          <cell r="H461">
            <v>0</v>
          </cell>
          <cell r="I461">
            <v>175</v>
          </cell>
        </row>
        <row r="462">
          <cell r="A462" t="str">
            <v>H%FH</v>
          </cell>
          <cell r="B462" t="str">
            <v>Otros</v>
          </cell>
          <cell r="C462" t="str">
            <v>Factor Herramientas</v>
          </cell>
          <cell r="D462">
            <v>1</v>
          </cell>
          <cell r="E462" t="str">
            <v>%</v>
          </cell>
          <cell r="F462">
            <v>210</v>
          </cell>
          <cell r="G462">
            <v>2.1</v>
          </cell>
          <cell r="H462">
            <v>0</v>
          </cell>
          <cell r="I462">
            <v>2.1</v>
          </cell>
        </row>
        <row r="463">
          <cell r="A463">
            <v>0</v>
          </cell>
          <cell r="B463">
            <v>0</v>
          </cell>
          <cell r="C463" t="str">
            <v>Total 01.06.02</v>
          </cell>
          <cell r="D463">
            <v>1</v>
          </cell>
          <cell r="E463">
            <v>0</v>
          </cell>
          <cell r="F463">
            <v>0</v>
          </cell>
          <cell r="G463">
            <v>818.959926</v>
          </cell>
          <cell r="H463">
            <v>109.23478668000001</v>
          </cell>
          <cell r="I463">
            <v>928.19471268000007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01.06.05</v>
          </cell>
          <cell r="B465" t="str">
            <v>Partida</v>
          </cell>
          <cell r="C465" t="str">
            <v>Piso hormigón frotado estampado</v>
          </cell>
          <cell r="D465">
            <v>1</v>
          </cell>
          <cell r="E465" t="str">
            <v>m²</v>
          </cell>
          <cell r="F465">
            <v>0</v>
          </cell>
          <cell r="G465">
            <v>925.16584766666665</v>
          </cell>
          <cell r="H465">
            <v>124.01418972</v>
          </cell>
          <cell r="I465">
            <v>1049.1800373866665</v>
          </cell>
        </row>
        <row r="466">
          <cell r="A466" t="str">
            <v>P0602008</v>
          </cell>
          <cell r="B466" t="str">
            <v>Material</v>
          </cell>
          <cell r="C466" t="str">
            <v>Hormigón Industrial H210 kg/cm2, Bombeado</v>
          </cell>
          <cell r="D466">
            <v>0.107</v>
          </cell>
          <cell r="E466" t="str">
            <v>m³</v>
          </cell>
          <cell r="F466">
            <v>4845.76</v>
          </cell>
          <cell r="G466">
            <v>518.49631999999997</v>
          </cell>
          <cell r="H466">
            <v>93.329337599999988</v>
          </cell>
          <cell r="I466">
            <v>611.8256576</v>
          </cell>
        </row>
        <row r="467">
          <cell r="A467" t="str">
            <v>P0402001</v>
          </cell>
          <cell r="B467" t="str">
            <v>Material</v>
          </cell>
          <cell r="C467" t="str">
            <v>Acero Malla D2.3xD2.3 (100x100)  Rollo 2.4x40 4.93qq</v>
          </cell>
          <cell r="D467">
            <v>1.1000000000000001</v>
          </cell>
          <cell r="E467" t="str">
            <v>m²</v>
          </cell>
          <cell r="F467">
            <v>130.20833333333334</v>
          </cell>
          <cell r="G467">
            <v>143.22916666666669</v>
          </cell>
          <cell r="H467">
            <v>25.781250000000004</v>
          </cell>
          <cell r="I467">
            <v>169.01041666666669</v>
          </cell>
        </row>
        <row r="468">
          <cell r="A468" t="str">
            <v>P0418006</v>
          </cell>
          <cell r="B468" t="str">
            <v>Material</v>
          </cell>
          <cell r="C468" t="str">
            <v>Alambre galvanizado liso #18</v>
          </cell>
          <cell r="D468">
            <v>0.1028</v>
          </cell>
          <cell r="E468" t="str">
            <v>lb</v>
          </cell>
          <cell r="F468">
            <v>42.28</v>
          </cell>
          <cell r="G468">
            <v>4.3463840000000005</v>
          </cell>
          <cell r="H468">
            <v>0.78234912000000001</v>
          </cell>
          <cell r="I468">
            <v>5.1287331200000006</v>
          </cell>
        </row>
        <row r="469">
          <cell r="A469" t="str">
            <v>P0190101</v>
          </cell>
          <cell r="B469" t="str">
            <v>Material</v>
          </cell>
          <cell r="C469" t="str">
            <v>FiberMesh Vinaldom Polipropileno 1 1/2" (2Lb/m³)</v>
          </cell>
          <cell r="D469">
            <v>0.105</v>
          </cell>
          <cell r="E469" t="str">
            <v>lb</v>
          </cell>
          <cell r="F469">
            <v>215.52</v>
          </cell>
          <cell r="G469">
            <v>22.6296</v>
          </cell>
          <cell r="H469">
            <v>4.0733280000000001</v>
          </cell>
          <cell r="I469">
            <v>26.702928</v>
          </cell>
        </row>
        <row r="470">
          <cell r="A470" t="str">
            <v>P0190102</v>
          </cell>
          <cell r="B470" t="str">
            <v>Material</v>
          </cell>
          <cell r="C470" t="str">
            <v>SupraCure Plus Vinaldom 40m²/gl</v>
          </cell>
          <cell r="D470">
            <v>1.2500000000000001E-2</v>
          </cell>
          <cell r="E470" t="str">
            <v>gl</v>
          </cell>
          <cell r="F470">
            <v>21.3</v>
          </cell>
          <cell r="G470">
            <v>0.26625000000000004</v>
          </cell>
          <cell r="H470">
            <v>4.7925000000000009E-2</v>
          </cell>
          <cell r="I470">
            <v>0.31417500000000004</v>
          </cell>
        </row>
        <row r="471">
          <cell r="A471" t="str">
            <v>H0302112</v>
          </cell>
          <cell r="B471" t="str">
            <v>Mano de obra</v>
          </cell>
          <cell r="C471" t="str">
            <v>M.O. Colocación Malla Electrosoldada</v>
          </cell>
          <cell r="D471">
            <v>1</v>
          </cell>
          <cell r="E471" t="str">
            <v>m²</v>
          </cell>
          <cell r="F471">
            <v>45</v>
          </cell>
          <cell r="G471">
            <v>45</v>
          </cell>
          <cell r="H471">
            <v>0</v>
          </cell>
          <cell r="I471">
            <v>45</v>
          </cell>
        </row>
        <row r="472">
          <cell r="A472" t="str">
            <v>H0100106</v>
          </cell>
          <cell r="B472" t="str">
            <v>Mano de obra</v>
          </cell>
          <cell r="C472" t="str">
            <v>M.O. Colocación y Terminación Hormigón Estampado</v>
          </cell>
          <cell r="D472">
            <v>1</v>
          </cell>
          <cell r="E472" t="str">
            <v>m²</v>
          </cell>
          <cell r="F472">
            <v>185</v>
          </cell>
          <cell r="G472">
            <v>185</v>
          </cell>
          <cell r="H472">
            <v>0</v>
          </cell>
          <cell r="I472">
            <v>185</v>
          </cell>
        </row>
        <row r="473">
          <cell r="A473" t="str">
            <v>SC800001</v>
          </cell>
          <cell r="B473" t="str">
            <v>Otros</v>
          </cell>
          <cell r="C473" t="str">
            <v>Ensayos y pruebas de laboratorio hormigón (3 Probetas x c/45m3)</v>
          </cell>
          <cell r="D473">
            <v>6.7000000000000002E-3</v>
          </cell>
          <cell r="E473" t="str">
            <v>u</v>
          </cell>
          <cell r="F473">
            <v>581.80999999999995</v>
          </cell>
          <cell r="G473">
            <v>3.8981269999999997</v>
          </cell>
          <cell r="H473">
            <v>0</v>
          </cell>
          <cell r="I473">
            <v>3.8981269999999997</v>
          </cell>
        </row>
        <row r="474">
          <cell r="A474" t="str">
            <v>H%FH</v>
          </cell>
          <cell r="B474" t="str">
            <v>Otros</v>
          </cell>
          <cell r="C474" t="str">
            <v>Factor Herramientas</v>
          </cell>
          <cell r="D474">
            <v>1</v>
          </cell>
          <cell r="E474" t="str">
            <v>%</v>
          </cell>
          <cell r="F474">
            <v>230</v>
          </cell>
          <cell r="G474">
            <v>2.3000000000000003</v>
          </cell>
          <cell r="H474">
            <v>0</v>
          </cell>
          <cell r="I474">
            <v>2.3000000000000003</v>
          </cell>
        </row>
        <row r="475">
          <cell r="A475">
            <v>0</v>
          </cell>
          <cell r="B475">
            <v>0</v>
          </cell>
          <cell r="C475" t="str">
            <v>Total 01.06.05</v>
          </cell>
          <cell r="D475">
            <v>1</v>
          </cell>
          <cell r="E475">
            <v>0</v>
          </cell>
          <cell r="F475">
            <v>0</v>
          </cell>
          <cell r="G475">
            <v>925.16584766666665</v>
          </cell>
          <cell r="H475">
            <v>124.01418972</v>
          </cell>
          <cell r="I475">
            <v>1049.1800373866665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01.06.04</v>
          </cell>
          <cell r="B477" t="str">
            <v>Partida</v>
          </cell>
          <cell r="C477" t="str">
            <v>Piso Porcelanato Rec/Mort Pegante Derr P/Porcelanato</v>
          </cell>
          <cell r="D477">
            <v>1</v>
          </cell>
          <cell r="E477" t="str">
            <v>m²</v>
          </cell>
          <cell r="F477">
            <v>0</v>
          </cell>
          <cell r="G477">
            <v>1278.922865</v>
          </cell>
          <cell r="H477">
            <v>198.39111570000003</v>
          </cell>
          <cell r="I477">
            <v>1477.3139807</v>
          </cell>
        </row>
        <row r="478">
          <cell r="A478" t="str">
            <v>P0701028</v>
          </cell>
          <cell r="B478" t="str">
            <v>Material</v>
          </cell>
          <cell r="C478" t="str">
            <v>Gres Porcelánico Import.</v>
          </cell>
          <cell r="D478">
            <v>1.05</v>
          </cell>
          <cell r="E478" t="str">
            <v>m²</v>
          </cell>
          <cell r="F478">
            <v>850</v>
          </cell>
          <cell r="G478">
            <v>892.5</v>
          </cell>
          <cell r="H478">
            <v>160.65</v>
          </cell>
          <cell r="I478">
            <v>1053.1500000000001</v>
          </cell>
        </row>
        <row r="479">
          <cell r="A479" t="str">
            <v>P2403199</v>
          </cell>
          <cell r="B479" t="str">
            <v>Material</v>
          </cell>
          <cell r="C479" t="str">
            <v>Agua</v>
          </cell>
          <cell r="D479">
            <v>0.3</v>
          </cell>
          <cell r="E479" t="str">
            <v>gl</v>
          </cell>
          <cell r="F479">
            <v>1.58</v>
          </cell>
          <cell r="G479">
            <v>0.47399999999999998</v>
          </cell>
          <cell r="H479">
            <v>8.5319999999999993E-2</v>
          </cell>
          <cell r="I479">
            <v>0.55931999999999993</v>
          </cell>
        </row>
        <row r="480">
          <cell r="A480" t="str">
            <v>P0711016</v>
          </cell>
          <cell r="B480" t="str">
            <v>Material</v>
          </cell>
          <cell r="C480" t="str">
            <v>Mortero para cerámicas PegaTod Gris 50 Lbs.</v>
          </cell>
          <cell r="D480">
            <v>0.17849999999999999</v>
          </cell>
          <cell r="E480" t="str">
            <v>fd</v>
          </cell>
          <cell r="F480">
            <v>218.64</v>
          </cell>
          <cell r="G480">
            <v>39.027239999999999</v>
          </cell>
          <cell r="H480">
            <v>7.0249031999999998</v>
          </cell>
          <cell r="I480">
            <v>46.052143199999996</v>
          </cell>
        </row>
        <row r="481">
          <cell r="A481" t="str">
            <v>P0601008</v>
          </cell>
          <cell r="B481" t="str">
            <v>Material</v>
          </cell>
          <cell r="C481" t="str">
            <v>Derretido Keracolor Mapei</v>
          </cell>
          <cell r="D481">
            <v>0.1575</v>
          </cell>
          <cell r="E481" t="str">
            <v>fd</v>
          </cell>
          <cell r="F481">
            <v>1016.95</v>
          </cell>
          <cell r="G481">
            <v>160.169625</v>
          </cell>
          <cell r="H481">
            <v>28.830532499999997</v>
          </cell>
          <cell r="I481">
            <v>189.0001575</v>
          </cell>
        </row>
        <row r="482">
          <cell r="A482" t="str">
            <v>P1404004</v>
          </cell>
          <cell r="B482" t="str">
            <v>Material</v>
          </cell>
          <cell r="C482" t="str">
            <v>Estopa</v>
          </cell>
          <cell r="D482">
            <v>0.16669999999999999</v>
          </cell>
          <cell r="E482" t="str">
            <v>lb</v>
          </cell>
          <cell r="F482">
            <v>60</v>
          </cell>
          <cell r="G482">
            <v>10.001999999999999</v>
          </cell>
          <cell r="H482">
            <v>1.8003599999999997</v>
          </cell>
          <cell r="I482">
            <v>11.802359999999998</v>
          </cell>
        </row>
        <row r="483">
          <cell r="A483" t="str">
            <v>H0340409</v>
          </cell>
          <cell r="B483" t="str">
            <v>Mano de obra</v>
          </cell>
          <cell r="C483" t="str">
            <v>M.O. Col. Piso Porcelanato Imp</v>
          </cell>
          <cell r="D483">
            <v>1</v>
          </cell>
          <cell r="E483" t="str">
            <v>m²</v>
          </cell>
          <cell r="F483">
            <v>175</v>
          </cell>
          <cell r="G483">
            <v>175</v>
          </cell>
          <cell r="H483">
            <v>0</v>
          </cell>
          <cell r="I483">
            <v>175</v>
          </cell>
        </row>
        <row r="484">
          <cell r="A484" t="str">
            <v>H%FH</v>
          </cell>
          <cell r="B484" t="str">
            <v>Otros</v>
          </cell>
          <cell r="C484" t="str">
            <v>Factor Herramientas</v>
          </cell>
          <cell r="D484">
            <v>1</v>
          </cell>
          <cell r="E484" t="str">
            <v>%</v>
          </cell>
          <cell r="F484">
            <v>175</v>
          </cell>
          <cell r="G484">
            <v>1.75</v>
          </cell>
          <cell r="H484">
            <v>0</v>
          </cell>
          <cell r="I484">
            <v>1.75</v>
          </cell>
        </row>
        <row r="485">
          <cell r="A485">
            <v>0</v>
          </cell>
          <cell r="B485">
            <v>0</v>
          </cell>
          <cell r="C485" t="str">
            <v>Total 01.06.04</v>
          </cell>
          <cell r="D485">
            <v>1</v>
          </cell>
          <cell r="E485">
            <v>0</v>
          </cell>
          <cell r="F485">
            <v>0</v>
          </cell>
          <cell r="G485">
            <v>1278.922865</v>
          </cell>
          <cell r="H485">
            <v>198.39111570000003</v>
          </cell>
          <cell r="I485">
            <v>1477.3139807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01.06.06</v>
          </cell>
          <cell r="B487" t="str">
            <v>Partida</v>
          </cell>
          <cell r="C487" t="str">
            <v>Zócalo Porcelanato Imp, Alt.10 cm</v>
          </cell>
          <cell r="D487">
            <v>1</v>
          </cell>
          <cell r="E487" t="str">
            <v>m</v>
          </cell>
          <cell r="F487">
            <v>0</v>
          </cell>
          <cell r="G487">
            <v>217.44600700000001</v>
          </cell>
          <cell r="H487">
            <v>21.869281259999998</v>
          </cell>
          <cell r="I487">
            <v>239.31528825999999</v>
          </cell>
        </row>
        <row r="488">
          <cell r="A488" t="str">
            <v>P0701028</v>
          </cell>
          <cell r="B488" t="str">
            <v>Material</v>
          </cell>
          <cell r="C488" t="str">
            <v>Gres Porcelánico Import.</v>
          </cell>
          <cell r="D488">
            <v>0.105</v>
          </cell>
          <cell r="E488" t="str">
            <v>m²</v>
          </cell>
          <cell r="F488">
            <v>850</v>
          </cell>
          <cell r="G488">
            <v>89.25</v>
          </cell>
          <cell r="H488">
            <v>16.064999999999998</v>
          </cell>
          <cell r="I488">
            <v>105.315</v>
          </cell>
        </row>
        <row r="489">
          <cell r="A489" t="str">
            <v>P0711016</v>
          </cell>
          <cell r="B489" t="str">
            <v>Material</v>
          </cell>
          <cell r="C489" t="str">
            <v>Mortero para cerámicas PegaTod Gris 50 Lbs.</v>
          </cell>
          <cell r="D489">
            <v>7.9799999999999996E-2</v>
          </cell>
          <cell r="E489" t="str">
            <v>fd</v>
          </cell>
          <cell r="F489">
            <v>218.64</v>
          </cell>
          <cell r="G489">
            <v>17.447471999999998</v>
          </cell>
          <cell r="H489">
            <v>3.1405449599999993</v>
          </cell>
          <cell r="I489">
            <v>20.588016959999997</v>
          </cell>
        </row>
        <row r="490">
          <cell r="A490" t="str">
            <v>P2403199</v>
          </cell>
          <cell r="B490" t="str">
            <v>Material</v>
          </cell>
          <cell r="C490" t="str">
            <v>Agua</v>
          </cell>
          <cell r="D490">
            <v>6.3E-2</v>
          </cell>
          <cell r="E490" t="str">
            <v>gl</v>
          </cell>
          <cell r="F490">
            <v>1.58</v>
          </cell>
          <cell r="G490">
            <v>9.9540000000000003E-2</v>
          </cell>
          <cell r="H490">
            <v>1.7917200000000001E-2</v>
          </cell>
          <cell r="I490">
            <v>0.11745720000000001</v>
          </cell>
        </row>
        <row r="491">
          <cell r="A491" t="str">
            <v>P0601008</v>
          </cell>
          <cell r="B491" t="str">
            <v>Material</v>
          </cell>
          <cell r="C491" t="str">
            <v>Derretido Keracolor Mapei</v>
          </cell>
          <cell r="D491">
            <v>1.41E-2</v>
          </cell>
          <cell r="E491" t="str">
            <v>fd</v>
          </cell>
          <cell r="F491">
            <v>1016.95</v>
          </cell>
          <cell r="G491">
            <v>14.338995000000001</v>
          </cell>
          <cell r="H491">
            <v>2.5810191000000002</v>
          </cell>
          <cell r="I491">
            <v>16.9200141</v>
          </cell>
        </row>
        <row r="492">
          <cell r="A492" t="str">
            <v>P1404004</v>
          </cell>
          <cell r="B492" t="str">
            <v>Material</v>
          </cell>
          <cell r="C492" t="str">
            <v>Estopa</v>
          </cell>
          <cell r="D492">
            <v>6.0000000000000001E-3</v>
          </cell>
          <cell r="E492" t="str">
            <v>lb</v>
          </cell>
          <cell r="F492">
            <v>60</v>
          </cell>
          <cell r="G492">
            <v>0.36</v>
          </cell>
          <cell r="H492">
            <v>6.4799999999999996E-2</v>
          </cell>
          <cell r="I492">
            <v>0.42479999999999996</v>
          </cell>
        </row>
        <row r="493">
          <cell r="A493" t="str">
            <v>H0340410</v>
          </cell>
          <cell r="B493" t="str">
            <v>Mano de obra</v>
          </cell>
          <cell r="C493" t="str">
            <v>M.O. Col. Zocalo Porcelanato/Marmol</v>
          </cell>
          <cell r="D493">
            <v>1</v>
          </cell>
          <cell r="E493" t="str">
            <v>m</v>
          </cell>
          <cell r="F493">
            <v>95</v>
          </cell>
          <cell r="G493">
            <v>95</v>
          </cell>
          <cell r="H493">
            <v>0</v>
          </cell>
          <cell r="I493">
            <v>95</v>
          </cell>
        </row>
        <row r="494">
          <cell r="A494" t="str">
            <v>H%FH</v>
          </cell>
          <cell r="B494" t="str">
            <v>Otros</v>
          </cell>
          <cell r="C494" t="str">
            <v>Factor Herramientas</v>
          </cell>
          <cell r="D494">
            <v>1</v>
          </cell>
          <cell r="E494" t="str">
            <v>%</v>
          </cell>
          <cell r="F494">
            <v>95</v>
          </cell>
          <cell r="G494">
            <v>0.95000000000000007</v>
          </cell>
          <cell r="H494">
            <v>0</v>
          </cell>
          <cell r="I494">
            <v>0.95000000000000007</v>
          </cell>
        </row>
        <row r="495">
          <cell r="A495">
            <v>0</v>
          </cell>
          <cell r="B495">
            <v>0</v>
          </cell>
          <cell r="C495" t="str">
            <v>Total 01.06.06</v>
          </cell>
          <cell r="D495">
            <v>1</v>
          </cell>
          <cell r="E495">
            <v>0</v>
          </cell>
          <cell r="F495">
            <v>0</v>
          </cell>
          <cell r="G495">
            <v>217.44600700000001</v>
          </cell>
          <cell r="H495">
            <v>21.869281259999998</v>
          </cell>
          <cell r="I495">
            <v>239.31528825999999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01.06.07</v>
          </cell>
          <cell r="B497" t="str">
            <v>Partida</v>
          </cell>
          <cell r="C497" t="str">
            <v>Revest Porcelanato Importada. Mort Cem J Corrida</v>
          </cell>
          <cell r="D497">
            <v>1</v>
          </cell>
          <cell r="E497" t="str">
            <v>m</v>
          </cell>
          <cell r="F497">
            <v>0</v>
          </cell>
          <cell r="G497">
            <v>1350.7619644915253</v>
          </cell>
          <cell r="H497">
            <v>193.14215360847459</v>
          </cell>
          <cell r="I497">
            <v>1543.9041181</v>
          </cell>
        </row>
        <row r="498">
          <cell r="A498" t="str">
            <v>P0701028</v>
          </cell>
          <cell r="B498" t="str">
            <v>Material</v>
          </cell>
          <cell r="C498" t="str">
            <v>Gres Porcelánico Import.</v>
          </cell>
          <cell r="D498">
            <v>1.07</v>
          </cell>
          <cell r="E498" t="str">
            <v>m²</v>
          </cell>
          <cell r="F498">
            <v>850</v>
          </cell>
          <cell r="G498">
            <v>909.5</v>
          </cell>
          <cell r="H498">
            <v>163.71</v>
          </cell>
          <cell r="I498">
            <v>1073.21</v>
          </cell>
        </row>
        <row r="499">
          <cell r="A499" t="str">
            <v>P0711017</v>
          </cell>
          <cell r="B499" t="str">
            <v>Material</v>
          </cell>
          <cell r="C499" t="str">
            <v>Mortero para cerámicas PegaTod Blanco 50 Lbs.</v>
          </cell>
          <cell r="D499">
            <v>0.17849999999999999</v>
          </cell>
          <cell r="E499" t="str">
            <v>fd</v>
          </cell>
          <cell r="F499">
            <v>406.77966101694915</v>
          </cell>
          <cell r="G499">
            <v>72.610169491525426</v>
          </cell>
          <cell r="H499">
            <v>13.069830508474576</v>
          </cell>
          <cell r="I499">
            <v>85.68</v>
          </cell>
        </row>
        <row r="500">
          <cell r="A500" t="str">
            <v>P2403199</v>
          </cell>
          <cell r="B500" t="str">
            <v>Material</v>
          </cell>
          <cell r="C500" t="str">
            <v>Agua</v>
          </cell>
          <cell r="D500">
            <v>0.3</v>
          </cell>
          <cell r="E500" t="str">
            <v>gl</v>
          </cell>
          <cell r="F500">
            <v>1.58</v>
          </cell>
          <cell r="G500">
            <v>0.47399999999999998</v>
          </cell>
          <cell r="H500">
            <v>8.5319999999999993E-2</v>
          </cell>
          <cell r="I500">
            <v>0.55931999999999993</v>
          </cell>
        </row>
        <row r="501">
          <cell r="A501" t="str">
            <v>P0601008</v>
          </cell>
          <cell r="B501" t="str">
            <v>Material</v>
          </cell>
          <cell r="C501" t="str">
            <v>Derretido Keracolor Mapei</v>
          </cell>
          <cell r="D501">
            <v>7.8100000000000003E-2</v>
          </cell>
          <cell r="E501" t="str">
            <v>fd</v>
          </cell>
          <cell r="F501">
            <v>1016.95</v>
          </cell>
          <cell r="G501">
            <v>79.423795000000013</v>
          </cell>
          <cell r="H501">
            <v>14.296283100000002</v>
          </cell>
          <cell r="I501">
            <v>93.720078100000009</v>
          </cell>
        </row>
        <row r="502">
          <cell r="A502" t="str">
            <v>P1404004</v>
          </cell>
          <cell r="B502" t="str">
            <v>Material</v>
          </cell>
          <cell r="C502" t="str">
            <v>Estopa</v>
          </cell>
          <cell r="D502">
            <v>0.18340000000000001</v>
          </cell>
          <cell r="E502" t="str">
            <v>lb</v>
          </cell>
          <cell r="F502">
            <v>60</v>
          </cell>
          <cell r="G502">
            <v>11.004000000000001</v>
          </cell>
          <cell r="H502">
            <v>1.9807200000000003</v>
          </cell>
          <cell r="I502">
            <v>12.984720000000001</v>
          </cell>
        </row>
        <row r="503">
          <cell r="A503" t="str">
            <v>H0340404</v>
          </cell>
          <cell r="B503" t="str">
            <v>Mano de obra</v>
          </cell>
          <cell r="C503" t="str">
            <v>M.O. Alb. Col. Revest Cerámica Importada</v>
          </cell>
          <cell r="D503">
            <v>1</v>
          </cell>
          <cell r="E503" t="str">
            <v>m²</v>
          </cell>
          <cell r="F503">
            <v>275</v>
          </cell>
          <cell r="G503">
            <v>275</v>
          </cell>
          <cell r="H503">
            <v>0</v>
          </cell>
          <cell r="I503">
            <v>275</v>
          </cell>
        </row>
        <row r="504">
          <cell r="A504" t="str">
            <v>H%FH</v>
          </cell>
          <cell r="B504" t="str">
            <v>Otros</v>
          </cell>
          <cell r="C504" t="str">
            <v>Factor Herramientas</v>
          </cell>
          <cell r="D504">
            <v>1</v>
          </cell>
          <cell r="E504" t="str">
            <v>%</v>
          </cell>
          <cell r="F504">
            <v>275</v>
          </cell>
          <cell r="G504">
            <v>2.75</v>
          </cell>
          <cell r="H504">
            <v>0</v>
          </cell>
          <cell r="I504">
            <v>2.75</v>
          </cell>
        </row>
        <row r="505">
          <cell r="A505">
            <v>0</v>
          </cell>
          <cell r="B505">
            <v>0</v>
          </cell>
          <cell r="C505" t="str">
            <v>Total 01.06.07</v>
          </cell>
          <cell r="D505">
            <v>1</v>
          </cell>
          <cell r="E505">
            <v>0</v>
          </cell>
          <cell r="F505">
            <v>0</v>
          </cell>
          <cell r="G505">
            <v>1350.7619644915253</v>
          </cell>
          <cell r="H505">
            <v>193.14215360847459</v>
          </cell>
          <cell r="I505">
            <v>1543.9041181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01.07</v>
          </cell>
          <cell r="B508" t="str">
            <v>Capítulo</v>
          </cell>
          <cell r="C508" t="str">
            <v>TERMINACION DE ESCALERA :</v>
          </cell>
          <cell r="D508">
            <v>0</v>
          </cell>
          <cell r="E508" t="str">
            <v/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01.07.01</v>
          </cell>
          <cell r="B509" t="str">
            <v>Partida</v>
          </cell>
          <cell r="C509" t="str">
            <v>Descanso de cemento  pulido con intralok bonding agent terminado con helicoptero</v>
          </cell>
          <cell r="D509">
            <v>1</v>
          </cell>
          <cell r="E509" t="str">
            <v>m²</v>
          </cell>
          <cell r="F509">
            <v>0</v>
          </cell>
          <cell r="G509">
            <v>577.502926</v>
          </cell>
          <cell r="H509">
            <v>65.772526679999999</v>
          </cell>
          <cell r="I509">
            <v>643.27545268000006</v>
          </cell>
        </row>
        <row r="510">
          <cell r="A510" t="str">
            <v>P2465459</v>
          </cell>
          <cell r="B510" t="str">
            <v>Material</v>
          </cell>
          <cell r="C510" t="str">
            <v xml:space="preserve">Intralok Bonding Agent, 18 m²/gl </v>
          </cell>
          <cell r="D510">
            <v>5.8333333333333334E-2</v>
          </cell>
          <cell r="E510" t="str">
            <v>gl</v>
          </cell>
          <cell r="F510">
            <v>1335</v>
          </cell>
          <cell r="G510">
            <v>77.875</v>
          </cell>
          <cell r="H510">
            <v>14.0175</v>
          </cell>
          <cell r="I510">
            <v>91.892499999999998</v>
          </cell>
        </row>
        <row r="511">
          <cell r="A511" t="str">
            <v>P2403199</v>
          </cell>
          <cell r="B511" t="str">
            <v>Material</v>
          </cell>
          <cell r="C511" t="str">
            <v>Agua</v>
          </cell>
          <cell r="D511">
            <v>0.2392</v>
          </cell>
          <cell r="E511" t="str">
            <v>gl</v>
          </cell>
          <cell r="F511">
            <v>1.58</v>
          </cell>
          <cell r="G511">
            <v>0.37793599999999999</v>
          </cell>
          <cell r="H511">
            <v>6.8028480000000002E-2</v>
          </cell>
          <cell r="I511">
            <v>0.44596448</v>
          </cell>
        </row>
        <row r="512">
          <cell r="A512" t="str">
            <v>P0201005</v>
          </cell>
          <cell r="B512" t="str">
            <v>Material</v>
          </cell>
          <cell r="C512" t="str">
            <v>Arena fina p/pañete</v>
          </cell>
          <cell r="D512">
            <v>1.8E-3</v>
          </cell>
          <cell r="E512" t="str">
            <v>m³</v>
          </cell>
          <cell r="F512">
            <v>1200</v>
          </cell>
          <cell r="G512">
            <v>2.16</v>
          </cell>
          <cell r="H512">
            <v>0.38880000000000003</v>
          </cell>
          <cell r="I512">
            <v>2.5488</v>
          </cell>
        </row>
        <row r="513">
          <cell r="A513" t="str">
            <v>P0601003</v>
          </cell>
          <cell r="B513" t="str">
            <v>Material</v>
          </cell>
          <cell r="C513" t="str">
            <v>Cemento Gris 94 lbs. Tipo Portland</v>
          </cell>
          <cell r="D513">
            <v>4.2500000000000003E-2</v>
          </cell>
          <cell r="E513" t="str">
            <v>fd</v>
          </cell>
          <cell r="F513">
            <v>295</v>
          </cell>
          <cell r="G513">
            <v>12.537500000000001</v>
          </cell>
          <cell r="H513">
            <v>2.2567500000000003</v>
          </cell>
          <cell r="I513">
            <v>14.794250000000002</v>
          </cell>
        </row>
        <row r="514">
          <cell r="A514" t="str">
            <v>P0602008</v>
          </cell>
          <cell r="B514" t="str">
            <v>Material</v>
          </cell>
          <cell r="C514" t="str">
            <v>Hormigón Industrial H210 kg/cm2, Bombeado</v>
          </cell>
          <cell r="D514">
            <v>5.1499999999999997E-2</v>
          </cell>
          <cell r="E514" t="str">
            <v>m³</v>
          </cell>
          <cell r="F514">
            <v>4845.76</v>
          </cell>
          <cell r="G514">
            <v>249.55663999999999</v>
          </cell>
          <cell r="H514">
            <v>44.920195199999995</v>
          </cell>
          <cell r="I514">
            <v>294.47683519999998</v>
          </cell>
        </row>
        <row r="515">
          <cell r="A515" t="str">
            <v>P0190101</v>
          </cell>
          <cell r="B515" t="str">
            <v>Material</v>
          </cell>
          <cell r="C515" t="str">
            <v>FiberMesh Vinaldom Polipropileno 1 1/2" (2Lb/m³)</v>
          </cell>
          <cell r="D515">
            <v>0.105</v>
          </cell>
          <cell r="E515" t="str">
            <v>lb</v>
          </cell>
          <cell r="F515">
            <v>215.52</v>
          </cell>
          <cell r="G515">
            <v>22.6296</v>
          </cell>
          <cell r="H515">
            <v>4.0733280000000001</v>
          </cell>
          <cell r="I515">
            <v>26.702928</v>
          </cell>
        </row>
        <row r="516">
          <cell r="A516" t="str">
            <v>P0190102</v>
          </cell>
          <cell r="B516" t="str">
            <v>Material</v>
          </cell>
          <cell r="C516" t="str">
            <v>SupraCure Plus Vinaldom 40m²/gl</v>
          </cell>
          <cell r="D516">
            <v>1.2500000000000001E-2</v>
          </cell>
          <cell r="E516" t="str">
            <v>gl</v>
          </cell>
          <cell r="F516">
            <v>21.3</v>
          </cell>
          <cell r="G516">
            <v>0.26625000000000004</v>
          </cell>
          <cell r="H516">
            <v>4.7925000000000009E-2</v>
          </cell>
          <cell r="I516">
            <v>0.31417500000000004</v>
          </cell>
        </row>
        <row r="517">
          <cell r="A517" t="str">
            <v>H0100112</v>
          </cell>
          <cell r="B517" t="str">
            <v>Mano de obra</v>
          </cell>
          <cell r="C517" t="str">
            <v>M.O. Mezclado y Colocación Lechada Adherente</v>
          </cell>
          <cell r="D517">
            <v>1</v>
          </cell>
          <cell r="E517" t="str">
            <v>m²</v>
          </cell>
          <cell r="F517">
            <v>35</v>
          </cell>
          <cell r="G517">
            <v>35</v>
          </cell>
          <cell r="H517">
            <v>0</v>
          </cell>
          <cell r="I517">
            <v>35</v>
          </cell>
        </row>
        <row r="518">
          <cell r="A518" t="str">
            <v>H0100105</v>
          </cell>
          <cell r="B518" t="str">
            <v>Mano de obra</v>
          </cell>
          <cell r="C518" t="str">
            <v>M.O. Colocación y Terminación Hormigón Pulido</v>
          </cell>
          <cell r="D518">
            <v>1</v>
          </cell>
          <cell r="E518" t="str">
            <v>m²</v>
          </cell>
          <cell r="F518">
            <v>175</v>
          </cell>
          <cell r="G518">
            <v>175</v>
          </cell>
          <cell r="H518">
            <v>0</v>
          </cell>
          <cell r="I518">
            <v>175</v>
          </cell>
        </row>
        <row r="519">
          <cell r="A519" t="str">
            <v>H%FH</v>
          </cell>
          <cell r="B519" t="str">
            <v>Otros</v>
          </cell>
          <cell r="C519" t="str">
            <v>Factor Herramientas</v>
          </cell>
          <cell r="D519">
            <v>1</v>
          </cell>
          <cell r="E519" t="str">
            <v>%</v>
          </cell>
          <cell r="F519">
            <v>210</v>
          </cell>
          <cell r="G519">
            <v>2.1</v>
          </cell>
          <cell r="H519">
            <v>0</v>
          </cell>
          <cell r="I519">
            <v>2.1</v>
          </cell>
        </row>
        <row r="520">
          <cell r="A520">
            <v>0</v>
          </cell>
          <cell r="B520">
            <v>0</v>
          </cell>
          <cell r="C520" t="str">
            <v>Total 01.07.01</v>
          </cell>
          <cell r="D520">
            <v>1</v>
          </cell>
          <cell r="E520">
            <v>0</v>
          </cell>
          <cell r="F520">
            <v>0</v>
          </cell>
          <cell r="G520">
            <v>577.502926</v>
          </cell>
          <cell r="H520">
            <v>65.772526679999999</v>
          </cell>
          <cell r="I520">
            <v>643.27545268000006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01.07.02</v>
          </cell>
          <cell r="B522" t="str">
            <v>Partida</v>
          </cell>
          <cell r="C522" t="str">
            <v>Escalera en hierro empotrada a la pared en área de control</v>
          </cell>
          <cell r="D522">
            <v>1</v>
          </cell>
          <cell r="E522" t="str">
            <v>u</v>
          </cell>
          <cell r="F522">
            <v>0</v>
          </cell>
          <cell r="G522">
            <v>35000</v>
          </cell>
          <cell r="H522">
            <v>0</v>
          </cell>
          <cell r="I522">
            <v>35000</v>
          </cell>
        </row>
        <row r="523">
          <cell r="A523" t="str">
            <v>SC556201</v>
          </cell>
          <cell r="B523" t="str">
            <v>Otros</v>
          </cell>
          <cell r="C523" t="str">
            <v>Subcontrato Sum./ Instalación Escalera en hierro empotrada a la pared en área de control</v>
          </cell>
          <cell r="D523">
            <v>1</v>
          </cell>
          <cell r="E523" t="str">
            <v>u</v>
          </cell>
          <cell r="F523">
            <v>35000</v>
          </cell>
          <cell r="G523">
            <v>35000</v>
          </cell>
          <cell r="H523">
            <v>0</v>
          </cell>
          <cell r="I523">
            <v>35000</v>
          </cell>
        </row>
        <row r="524">
          <cell r="A524">
            <v>0</v>
          </cell>
          <cell r="B524">
            <v>0</v>
          </cell>
          <cell r="C524" t="str">
            <v>Total 01.07.02</v>
          </cell>
          <cell r="D524">
            <v>1</v>
          </cell>
          <cell r="E524">
            <v>0</v>
          </cell>
          <cell r="F524">
            <v>0</v>
          </cell>
          <cell r="G524">
            <v>35000</v>
          </cell>
          <cell r="H524">
            <v>0</v>
          </cell>
          <cell r="I524">
            <v>35000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01.07.03</v>
          </cell>
          <cell r="B526" t="str">
            <v>Partida</v>
          </cell>
          <cell r="C526" t="str">
            <v>Escalones de cemento  pulido con intralok bonding agent terminado con helicoptero</v>
          </cell>
          <cell r="D526">
            <v>1</v>
          </cell>
          <cell r="E526" t="str">
            <v>m</v>
          </cell>
          <cell r="F526">
            <v>0</v>
          </cell>
          <cell r="G526">
            <v>669.22104000000013</v>
          </cell>
          <cell r="H526">
            <v>39.558787199999998</v>
          </cell>
          <cell r="I526">
            <v>708.7798272</v>
          </cell>
        </row>
        <row r="527">
          <cell r="A527" t="str">
            <v>P2465459</v>
          </cell>
          <cell r="B527" t="str">
            <v>Material</v>
          </cell>
          <cell r="C527" t="str">
            <v xml:space="preserve">Intralok Bonding Agent, 18 m²/gl </v>
          </cell>
          <cell r="D527">
            <v>2.6250000000000002E-2</v>
          </cell>
          <cell r="E527" t="str">
            <v>gl</v>
          </cell>
          <cell r="F527">
            <v>1335</v>
          </cell>
          <cell r="G527">
            <v>35.043750000000003</v>
          </cell>
          <cell r="H527">
            <v>6.3078750000000001</v>
          </cell>
          <cell r="I527">
            <v>41.351625000000006</v>
          </cell>
        </row>
        <row r="528">
          <cell r="A528" t="str">
            <v>P2403199</v>
          </cell>
          <cell r="B528" t="str">
            <v>Material</v>
          </cell>
          <cell r="C528" t="str">
            <v>Agua</v>
          </cell>
          <cell r="D528">
            <v>0.1076</v>
          </cell>
          <cell r="E528" t="str">
            <v>gl</v>
          </cell>
          <cell r="F528">
            <v>1.58</v>
          </cell>
          <cell r="G528">
            <v>0.17000800000000002</v>
          </cell>
          <cell r="H528">
            <v>3.0601440000000004E-2</v>
          </cell>
          <cell r="I528">
            <v>0.20060944000000003</v>
          </cell>
        </row>
        <row r="529">
          <cell r="A529" t="str">
            <v>P0201005</v>
          </cell>
          <cell r="B529" t="str">
            <v>Material</v>
          </cell>
          <cell r="C529" t="str">
            <v>Arena fina p/pañete</v>
          </cell>
          <cell r="D529">
            <v>8.0000000000000004E-4</v>
          </cell>
          <cell r="E529" t="str">
            <v>m³</v>
          </cell>
          <cell r="F529">
            <v>1200</v>
          </cell>
          <cell r="G529">
            <v>0.96000000000000008</v>
          </cell>
          <cell r="H529">
            <v>0.17280000000000001</v>
          </cell>
          <cell r="I529">
            <v>1.1328</v>
          </cell>
        </row>
        <row r="530">
          <cell r="A530" t="str">
            <v>P0601003</v>
          </cell>
          <cell r="B530" t="str">
            <v>Material</v>
          </cell>
          <cell r="C530" t="str">
            <v>Cemento Gris 94 lbs. Tipo Portland</v>
          </cell>
          <cell r="D530">
            <v>1.9099999999999999E-2</v>
          </cell>
          <cell r="E530" t="str">
            <v>fd</v>
          </cell>
          <cell r="F530">
            <v>295</v>
          </cell>
          <cell r="G530">
            <v>5.6345000000000001</v>
          </cell>
          <cell r="H530">
            <v>1.0142100000000001</v>
          </cell>
          <cell r="I530">
            <v>6.6487100000000003</v>
          </cell>
        </row>
        <row r="531">
          <cell r="A531" t="str">
            <v>P0301004</v>
          </cell>
          <cell r="B531" t="str">
            <v>Material</v>
          </cell>
          <cell r="C531" t="str">
            <v>Madera Pino Amer. Bruta 1"x4"</v>
          </cell>
          <cell r="D531">
            <v>0.27300000000000002</v>
          </cell>
          <cell r="E531" t="str">
            <v>p²</v>
          </cell>
          <cell r="F531">
            <v>41</v>
          </cell>
          <cell r="G531">
            <v>11.193000000000001</v>
          </cell>
          <cell r="H531">
            <v>2.0147400000000002</v>
          </cell>
          <cell r="I531">
            <v>13.207740000000001</v>
          </cell>
        </row>
        <row r="532">
          <cell r="A532" t="str">
            <v>P0419008</v>
          </cell>
          <cell r="B532" t="str">
            <v>Material</v>
          </cell>
          <cell r="C532" t="str">
            <v>Clavo corriente de 2"</v>
          </cell>
          <cell r="D532">
            <v>0.109</v>
          </cell>
          <cell r="E532" t="str">
            <v>lb</v>
          </cell>
          <cell r="F532">
            <v>29.66</v>
          </cell>
          <cell r="G532">
            <v>3.2329400000000001</v>
          </cell>
          <cell r="H532">
            <v>0.58192920000000004</v>
          </cell>
          <cell r="I532">
            <v>3.8148692000000004</v>
          </cell>
        </row>
        <row r="533">
          <cell r="A533" t="str">
            <v>P0420006</v>
          </cell>
          <cell r="B533" t="str">
            <v>Material</v>
          </cell>
          <cell r="C533" t="str">
            <v>Clavo de acero de 2 1/2"</v>
          </cell>
          <cell r="D533">
            <v>0.109</v>
          </cell>
          <cell r="E533" t="str">
            <v>lb</v>
          </cell>
          <cell r="F533">
            <v>46.61</v>
          </cell>
          <cell r="G533">
            <v>5.0804900000000002</v>
          </cell>
          <cell r="H533">
            <v>0.91448819999999997</v>
          </cell>
          <cell r="I533">
            <v>5.9949782000000003</v>
          </cell>
        </row>
        <row r="534">
          <cell r="A534" t="str">
            <v>P0602008</v>
          </cell>
          <cell r="B534" t="str">
            <v>Material</v>
          </cell>
          <cell r="C534" t="str">
            <v>Hormigón Industrial H210 kg/cm2, Bombeado</v>
          </cell>
          <cell r="D534">
            <v>3.27E-2</v>
          </cell>
          <cell r="E534" t="str">
            <v>m³</v>
          </cell>
          <cell r="F534">
            <v>4845.76</v>
          </cell>
          <cell r="G534">
            <v>158.45635200000001</v>
          </cell>
          <cell r="H534">
            <v>28.522143360000001</v>
          </cell>
          <cell r="I534">
            <v>186.97849536000001</v>
          </cell>
        </row>
        <row r="535">
          <cell r="A535" t="str">
            <v>H0350615</v>
          </cell>
          <cell r="B535" t="str">
            <v>Mano de obra</v>
          </cell>
          <cell r="C535" t="str">
            <v>M.O. Formación y Terminación a Escobilla de Escalón de Hormigón s/Canto</v>
          </cell>
          <cell r="D535">
            <v>1</v>
          </cell>
          <cell r="E535" t="str">
            <v>m</v>
          </cell>
          <cell r="F535">
            <v>310</v>
          </cell>
          <cell r="G535">
            <v>310</v>
          </cell>
          <cell r="H535">
            <v>0</v>
          </cell>
          <cell r="I535">
            <v>310</v>
          </cell>
        </row>
        <row r="536">
          <cell r="A536" t="str">
            <v>H0350610</v>
          </cell>
          <cell r="B536" t="str">
            <v>Mano de obra</v>
          </cell>
          <cell r="C536" t="str">
            <v>M.O. Replanteo y Encofrado de Escalones en Hormigón</v>
          </cell>
          <cell r="D536">
            <v>1</v>
          </cell>
          <cell r="E536" t="str">
            <v>m</v>
          </cell>
          <cell r="F536">
            <v>135</v>
          </cell>
          <cell r="G536">
            <v>135</v>
          </cell>
          <cell r="H536">
            <v>0</v>
          </cell>
          <cell r="I536">
            <v>135</v>
          </cell>
        </row>
        <row r="537">
          <cell r="A537" t="str">
            <v>H%FH</v>
          </cell>
          <cell r="B537" t="str">
            <v>Otros</v>
          </cell>
          <cell r="C537" t="str">
            <v>Factor Herramientas</v>
          </cell>
          <cell r="D537">
            <v>1</v>
          </cell>
          <cell r="E537" t="str">
            <v>%</v>
          </cell>
          <cell r="F537">
            <v>445</v>
          </cell>
          <cell r="G537">
            <v>4.45</v>
          </cell>
          <cell r="H537">
            <v>0</v>
          </cell>
          <cell r="I537">
            <v>4.45</v>
          </cell>
        </row>
        <row r="538">
          <cell r="A538">
            <v>0</v>
          </cell>
          <cell r="B538">
            <v>0</v>
          </cell>
          <cell r="C538" t="str">
            <v>Total 01.07.03</v>
          </cell>
          <cell r="D538">
            <v>1</v>
          </cell>
          <cell r="E538">
            <v>0</v>
          </cell>
          <cell r="F538">
            <v>0</v>
          </cell>
          <cell r="G538">
            <v>669.22104000000013</v>
          </cell>
          <cell r="H538">
            <v>39.558787199999998</v>
          </cell>
          <cell r="I538">
            <v>708.7798272</v>
          </cell>
        </row>
        <row r="539">
          <cell r="A539" t="str">
            <v>01.07.04</v>
          </cell>
          <cell r="B539" t="str">
            <v>Partida</v>
          </cell>
          <cell r="C539" t="str">
            <v>Formación de Escalones en Porcelanato</v>
          </cell>
          <cell r="D539">
            <v>1</v>
          </cell>
          <cell r="E539" t="str">
            <v>m²</v>
          </cell>
          <cell r="F539">
            <v>0</v>
          </cell>
          <cell r="G539">
            <v>982.65750441249997</v>
          </cell>
          <cell r="H539">
            <v>108.70335079425</v>
          </cell>
          <cell r="I539">
            <v>1091.3608552067499</v>
          </cell>
        </row>
        <row r="540">
          <cell r="A540" t="str">
            <v>P0701028</v>
          </cell>
          <cell r="B540" t="str">
            <v>Material</v>
          </cell>
          <cell r="C540" t="str">
            <v>Gres Porcelánico Import.</v>
          </cell>
          <cell r="D540">
            <v>0.50290000000000001</v>
          </cell>
          <cell r="E540" t="str">
            <v>m²</v>
          </cell>
          <cell r="F540">
            <v>850</v>
          </cell>
          <cell r="G540">
            <v>427.46500000000003</v>
          </cell>
          <cell r="H540">
            <v>76.943700000000007</v>
          </cell>
          <cell r="I540">
            <v>504.40870000000007</v>
          </cell>
        </row>
        <row r="541">
          <cell r="A541" t="str">
            <v>P2403199</v>
          </cell>
          <cell r="B541" t="str">
            <v>Material</v>
          </cell>
          <cell r="C541" t="str">
            <v>Agua</v>
          </cell>
          <cell r="D541">
            <v>1.68</v>
          </cell>
          <cell r="E541" t="str">
            <v>gl</v>
          </cell>
          <cell r="F541">
            <v>1.58</v>
          </cell>
          <cell r="G541">
            <v>2.6543999999999999</v>
          </cell>
          <cell r="H541">
            <v>0.47779199999999994</v>
          </cell>
          <cell r="I541">
            <v>3.1321919999999999</v>
          </cell>
        </row>
        <row r="542">
          <cell r="A542" t="str">
            <v>P0711016</v>
          </cell>
          <cell r="B542" t="str">
            <v>Material</v>
          </cell>
          <cell r="C542" t="str">
            <v>Mortero para cerámicas PegaTod Gris 50 Lbs.</v>
          </cell>
          <cell r="D542">
            <v>0.42</v>
          </cell>
          <cell r="E542" t="str">
            <v>fd</v>
          </cell>
          <cell r="F542">
            <v>218.64</v>
          </cell>
          <cell r="G542">
            <v>91.828799999999987</v>
          </cell>
          <cell r="H542">
            <v>16.529183999999997</v>
          </cell>
          <cell r="I542">
            <v>108.35798399999999</v>
          </cell>
        </row>
        <row r="543">
          <cell r="A543" t="str">
            <v>P0601008</v>
          </cell>
          <cell r="B543" t="str">
            <v>Material</v>
          </cell>
          <cell r="C543" t="str">
            <v>Derretido Keracolor Mapei</v>
          </cell>
          <cell r="D543">
            <v>7.9206750000000006E-2</v>
          </cell>
          <cell r="E543" t="str">
            <v>fd</v>
          </cell>
          <cell r="F543">
            <v>1016.95</v>
          </cell>
          <cell r="G543">
            <v>80.549304412500007</v>
          </cell>
          <cell r="H543">
            <v>14.49887479425</v>
          </cell>
          <cell r="I543">
            <v>95.048179206750007</v>
          </cell>
        </row>
        <row r="544">
          <cell r="A544" t="str">
            <v>P1404004</v>
          </cell>
          <cell r="B544" t="str">
            <v>Material</v>
          </cell>
          <cell r="C544" t="str">
            <v>Estopa</v>
          </cell>
          <cell r="D544">
            <v>2.35E-2</v>
          </cell>
          <cell r="E544" t="str">
            <v>lb</v>
          </cell>
          <cell r="F544">
            <v>60</v>
          </cell>
          <cell r="G544">
            <v>1.41</v>
          </cell>
          <cell r="H544">
            <v>0.25379999999999997</v>
          </cell>
          <cell r="I544">
            <v>1.6637999999999999</v>
          </cell>
        </row>
        <row r="545">
          <cell r="A545" t="str">
            <v>H0345445</v>
          </cell>
          <cell r="B545" t="str">
            <v>Mano de obra</v>
          </cell>
          <cell r="C545" t="str">
            <v>M.O. Formación y Revest  Escalón H+C</v>
          </cell>
          <cell r="D545">
            <v>1</v>
          </cell>
          <cell r="E545" t="str">
            <v>m</v>
          </cell>
          <cell r="F545">
            <v>375</v>
          </cell>
          <cell r="G545">
            <v>375</v>
          </cell>
          <cell r="H545">
            <v>0</v>
          </cell>
          <cell r="I545">
            <v>375</v>
          </cell>
        </row>
        <row r="546">
          <cell r="A546" t="str">
            <v>H%FH</v>
          </cell>
          <cell r="B546" t="str">
            <v>Otros</v>
          </cell>
          <cell r="C546" t="str">
            <v>Factor Herramientas</v>
          </cell>
          <cell r="D546">
            <v>1</v>
          </cell>
          <cell r="E546" t="str">
            <v>%</v>
          </cell>
          <cell r="F546">
            <v>375</v>
          </cell>
          <cell r="G546">
            <v>3.75</v>
          </cell>
          <cell r="H546">
            <v>0</v>
          </cell>
          <cell r="I546">
            <v>3.75</v>
          </cell>
        </row>
        <row r="547">
          <cell r="A547">
            <v>0</v>
          </cell>
          <cell r="B547">
            <v>0</v>
          </cell>
          <cell r="C547" t="str">
            <v>Total 01.07.04</v>
          </cell>
          <cell r="D547">
            <v>1</v>
          </cell>
          <cell r="E547">
            <v>0</v>
          </cell>
          <cell r="F547">
            <v>0</v>
          </cell>
          <cell r="G547">
            <v>982.65750441249997</v>
          </cell>
          <cell r="H547">
            <v>108.70335079425</v>
          </cell>
          <cell r="I547">
            <v>1091.3608552067499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01.08</v>
          </cell>
          <cell r="B550" t="str">
            <v>Capítulo</v>
          </cell>
          <cell r="C550" t="str">
            <v>PROTECCION DE HIERROS EN PUERTAS Y VENTANAS:</v>
          </cell>
          <cell r="D550">
            <v>0</v>
          </cell>
          <cell r="E550" t="str">
            <v/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01.08.01</v>
          </cell>
          <cell r="B551" t="str">
            <v>Partida</v>
          </cell>
          <cell r="C551" t="str">
            <v>Paneles fijos de Barrotes de Ø ¾ " ventanas</v>
          </cell>
          <cell r="D551">
            <v>1</v>
          </cell>
          <cell r="E551" t="str">
            <v>m²</v>
          </cell>
          <cell r="F551">
            <v>0</v>
          </cell>
          <cell r="G551">
            <v>6197.76</v>
          </cell>
          <cell r="H551">
            <v>0</v>
          </cell>
          <cell r="I551">
            <v>6447.76</v>
          </cell>
        </row>
        <row r="552">
          <cell r="A552" t="str">
            <v>SC040721</v>
          </cell>
          <cell r="B552" t="str">
            <v>Otros</v>
          </cell>
          <cell r="C552" t="str">
            <v>Sum./ Instalación Paños Fijos/Puertas de Barrotes de Hierro</v>
          </cell>
          <cell r="D552">
            <v>1</v>
          </cell>
          <cell r="E552" t="str">
            <v>m²</v>
          </cell>
          <cell r="F552">
            <v>6197.76</v>
          </cell>
          <cell r="G552">
            <v>6197.76</v>
          </cell>
          <cell r="H552">
            <v>0</v>
          </cell>
          <cell r="I552">
            <v>6197.76</v>
          </cell>
        </row>
        <row r="553">
          <cell r="A553" t="str">
            <v>SC04%</v>
          </cell>
          <cell r="B553" t="str">
            <v>Otros</v>
          </cell>
          <cell r="C553" t="str">
            <v>Factor Resanes Trabajos Rejas</v>
          </cell>
          <cell r="D553">
            <v>25</v>
          </cell>
          <cell r="E553" t="str">
            <v>%</v>
          </cell>
          <cell r="F553">
            <v>10</v>
          </cell>
          <cell r="G553">
            <v>0</v>
          </cell>
          <cell r="H553">
            <v>0</v>
          </cell>
          <cell r="I553">
            <v>250</v>
          </cell>
        </row>
        <row r="554">
          <cell r="A554">
            <v>0</v>
          </cell>
          <cell r="B554">
            <v>0</v>
          </cell>
          <cell r="C554" t="str">
            <v>Total 01.08.01</v>
          </cell>
          <cell r="D554">
            <v>1</v>
          </cell>
          <cell r="E554">
            <v>0</v>
          </cell>
          <cell r="F554">
            <v>0</v>
          </cell>
          <cell r="G554">
            <v>6197.76</v>
          </cell>
          <cell r="H554">
            <v>0</v>
          </cell>
          <cell r="I554">
            <v>6447.76</v>
          </cell>
        </row>
        <row r="555">
          <cell r="A555" t="str">
            <v>01.08.04</v>
          </cell>
          <cell r="B555" t="str">
            <v>Partida</v>
          </cell>
          <cell r="C555" t="str">
            <v>Malla soldada y plastificada con perfiles 2"*2"en hueco de escalera (1er a 5to nivel)</v>
          </cell>
          <cell r="D555">
            <v>1</v>
          </cell>
          <cell r="E555" t="str">
            <v>m²</v>
          </cell>
          <cell r="F555">
            <v>0</v>
          </cell>
          <cell r="G555">
            <v>510</v>
          </cell>
          <cell r="H555">
            <v>0</v>
          </cell>
          <cell r="I555">
            <v>510</v>
          </cell>
        </row>
        <row r="556">
          <cell r="A556" t="str">
            <v>SC040724</v>
          </cell>
          <cell r="B556" t="str">
            <v>Otros</v>
          </cell>
          <cell r="C556" t="str">
            <v>Sum./ Instalación Malla soldada y plastificada con perfiles 2"x2"</v>
          </cell>
          <cell r="D556">
            <v>1</v>
          </cell>
          <cell r="E556" t="str">
            <v>m²</v>
          </cell>
          <cell r="F556">
            <v>510</v>
          </cell>
          <cell r="G556">
            <v>510</v>
          </cell>
          <cell r="H556">
            <v>0</v>
          </cell>
          <cell r="I556">
            <v>510</v>
          </cell>
        </row>
        <row r="557">
          <cell r="A557">
            <v>0</v>
          </cell>
          <cell r="B557">
            <v>0</v>
          </cell>
          <cell r="C557" t="str">
            <v>Total 01.08.04</v>
          </cell>
          <cell r="D557">
            <v>1</v>
          </cell>
          <cell r="E557">
            <v>0</v>
          </cell>
          <cell r="F557">
            <v>0</v>
          </cell>
          <cell r="G557">
            <v>510</v>
          </cell>
          <cell r="H557">
            <v>0</v>
          </cell>
          <cell r="I557">
            <v>510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01.08.05</v>
          </cell>
          <cell r="B559" t="str">
            <v>Partida</v>
          </cell>
          <cell r="C559" t="str">
            <v>Barrotes horizontales Ø 3/4"@0.10m en huecos de Garita</v>
          </cell>
          <cell r="D559">
            <v>1</v>
          </cell>
          <cell r="E559" t="str">
            <v>m²</v>
          </cell>
          <cell r="F559">
            <v>0</v>
          </cell>
          <cell r="G559">
            <v>5229.3599999999997</v>
          </cell>
          <cell r="H559">
            <v>0</v>
          </cell>
          <cell r="I559">
            <v>5479.36</v>
          </cell>
        </row>
        <row r="560">
          <cell r="A560" t="str">
            <v>SC040725</v>
          </cell>
          <cell r="B560" t="str">
            <v>Otros</v>
          </cell>
          <cell r="C560" t="str">
            <v>Sum./ Instalación Barrotes horizontales Ø 3/4"@0.10m en huecos</v>
          </cell>
          <cell r="D560">
            <v>1</v>
          </cell>
          <cell r="E560" t="str">
            <v>m²</v>
          </cell>
          <cell r="F560">
            <v>5229.3599999999997</v>
          </cell>
          <cell r="G560">
            <v>5229.3599999999997</v>
          </cell>
          <cell r="H560">
            <v>0</v>
          </cell>
          <cell r="I560">
            <v>5229.3599999999997</v>
          </cell>
        </row>
        <row r="561">
          <cell r="A561" t="str">
            <v>SC04%</v>
          </cell>
          <cell r="B561" t="str">
            <v>Otros</v>
          </cell>
          <cell r="C561" t="str">
            <v>Factor Resanes Trabajos Rejas</v>
          </cell>
          <cell r="D561">
            <v>25</v>
          </cell>
          <cell r="E561" t="str">
            <v>%</v>
          </cell>
          <cell r="F561">
            <v>10</v>
          </cell>
          <cell r="G561">
            <v>0</v>
          </cell>
          <cell r="H561">
            <v>0</v>
          </cell>
          <cell r="I561">
            <v>250</v>
          </cell>
        </row>
        <row r="562">
          <cell r="A562">
            <v>0</v>
          </cell>
          <cell r="B562">
            <v>0</v>
          </cell>
          <cell r="C562" t="str">
            <v>Total 01.08.05</v>
          </cell>
          <cell r="D562">
            <v>1</v>
          </cell>
          <cell r="E562">
            <v>0</v>
          </cell>
          <cell r="F562">
            <v>0</v>
          </cell>
          <cell r="G562">
            <v>5229.3599999999997</v>
          </cell>
          <cell r="H562">
            <v>0</v>
          </cell>
          <cell r="I562">
            <v>5479.36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01.08.06</v>
          </cell>
          <cell r="B564" t="str">
            <v>Partida</v>
          </cell>
          <cell r="C564" t="str">
            <v>Protección en techo en Patio en barras de ø1"</v>
          </cell>
          <cell r="D564">
            <v>1</v>
          </cell>
          <cell r="E564" t="str">
            <v>m²</v>
          </cell>
          <cell r="F564">
            <v>0</v>
          </cell>
          <cell r="G564">
            <v>6197.76</v>
          </cell>
          <cell r="H564">
            <v>0</v>
          </cell>
          <cell r="I564">
            <v>6447.76</v>
          </cell>
        </row>
        <row r="565">
          <cell r="A565" t="str">
            <v>SC040726</v>
          </cell>
          <cell r="B565" t="str">
            <v>Otros</v>
          </cell>
          <cell r="C565" t="str">
            <v>Sum./ Instalación Protección en techo en Patio en barras de ø1"</v>
          </cell>
          <cell r="D565">
            <v>1</v>
          </cell>
          <cell r="E565" t="str">
            <v>m²</v>
          </cell>
          <cell r="F565">
            <v>6197.76</v>
          </cell>
          <cell r="G565">
            <v>6197.76</v>
          </cell>
          <cell r="H565">
            <v>0</v>
          </cell>
          <cell r="I565">
            <v>6197.76</v>
          </cell>
        </row>
        <row r="566">
          <cell r="A566" t="str">
            <v>SC04%</v>
          </cell>
          <cell r="B566" t="str">
            <v>Otros</v>
          </cell>
          <cell r="C566" t="str">
            <v>Factor Resanes Trabajos Rejas</v>
          </cell>
          <cell r="D566">
            <v>25</v>
          </cell>
          <cell r="E566" t="str">
            <v>%</v>
          </cell>
          <cell r="F566">
            <v>10</v>
          </cell>
          <cell r="G566">
            <v>0</v>
          </cell>
          <cell r="H566">
            <v>0</v>
          </cell>
          <cell r="I566">
            <v>250</v>
          </cell>
        </row>
        <row r="567">
          <cell r="A567">
            <v>0</v>
          </cell>
          <cell r="B567">
            <v>0</v>
          </cell>
          <cell r="C567" t="str">
            <v>Total 01.08.06</v>
          </cell>
          <cell r="D567">
            <v>1</v>
          </cell>
          <cell r="E567">
            <v>0</v>
          </cell>
          <cell r="F567">
            <v>0</v>
          </cell>
          <cell r="G567">
            <v>6197.76</v>
          </cell>
          <cell r="H567">
            <v>0</v>
          </cell>
          <cell r="I567">
            <v>6447.76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01.09</v>
          </cell>
          <cell r="B571" t="str">
            <v>Capítulo</v>
          </cell>
          <cell r="C571" t="str">
            <v>PUERTAS :</v>
          </cell>
          <cell r="D571">
            <v>0</v>
          </cell>
          <cell r="E571" t="str">
            <v/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01.09.01</v>
          </cell>
          <cell r="B572" t="str">
            <v>Partida</v>
          </cell>
          <cell r="C572" t="str">
            <v>Polimetal con visor vertical, 2 hojas de puerta batiente con tragaluz de 0.50m; 1.80x2.80m, P2</v>
          </cell>
          <cell r="D572">
            <v>1</v>
          </cell>
          <cell r="E572" t="str">
            <v>u</v>
          </cell>
          <cell r="F572">
            <v>0</v>
          </cell>
          <cell r="G572">
            <v>19239.74802259888</v>
          </cell>
          <cell r="H572">
            <v>3190.4546440677982</v>
          </cell>
          <cell r="I572">
            <v>22430.202666666679</v>
          </cell>
        </row>
        <row r="573">
          <cell r="A573" t="str">
            <v>P4005041</v>
          </cell>
          <cell r="B573" t="str">
            <v>Material</v>
          </cell>
          <cell r="C573" t="str">
            <v>Puerta Polimetal c/Visor Vertical, 2H Batiente, 1.80 x 2.80 m</v>
          </cell>
          <cell r="D573">
            <v>1</v>
          </cell>
          <cell r="E573" t="str">
            <v>u</v>
          </cell>
          <cell r="F573">
            <v>17274.74802259888</v>
          </cell>
          <cell r="G573">
            <v>17274.74802259888</v>
          </cell>
          <cell r="H573">
            <v>3109.4546440677982</v>
          </cell>
          <cell r="I573">
            <v>20384.202666666679</v>
          </cell>
        </row>
        <row r="574">
          <cell r="A574" t="str">
            <v>P2201029</v>
          </cell>
          <cell r="B574" t="str">
            <v>Material</v>
          </cell>
          <cell r="C574" t="str">
            <v>Cerradura Schlage o similar c/ Regular</v>
          </cell>
          <cell r="D574">
            <v>1</v>
          </cell>
          <cell r="E574" t="str">
            <v>u</v>
          </cell>
          <cell r="F574">
            <v>450</v>
          </cell>
          <cell r="G574">
            <v>450</v>
          </cell>
          <cell r="H574">
            <v>81</v>
          </cell>
          <cell r="I574">
            <v>531</v>
          </cell>
        </row>
        <row r="575">
          <cell r="A575" t="str">
            <v>H0920567</v>
          </cell>
          <cell r="B575" t="str">
            <v>Mano de obra</v>
          </cell>
          <cell r="C575" t="str">
            <v>M.O. Instalación Puerta Polimetal, 2H</v>
          </cell>
          <cell r="D575">
            <v>1</v>
          </cell>
          <cell r="E575" t="str">
            <v>u</v>
          </cell>
          <cell r="F575">
            <v>1500</v>
          </cell>
          <cell r="G575">
            <v>1500</v>
          </cell>
          <cell r="H575">
            <v>0</v>
          </cell>
          <cell r="I575">
            <v>1500</v>
          </cell>
        </row>
        <row r="576">
          <cell r="A576" t="str">
            <v>H%FH</v>
          </cell>
          <cell r="B576" t="str">
            <v>Otros</v>
          </cell>
          <cell r="C576" t="str">
            <v>Factor Herramientas</v>
          </cell>
          <cell r="D576">
            <v>1</v>
          </cell>
          <cell r="E576" t="str">
            <v>%</v>
          </cell>
          <cell r="F576">
            <v>1500</v>
          </cell>
          <cell r="G576">
            <v>15</v>
          </cell>
          <cell r="H576">
            <v>0</v>
          </cell>
          <cell r="I576">
            <v>15</v>
          </cell>
        </row>
        <row r="577">
          <cell r="A577">
            <v>0</v>
          </cell>
          <cell r="B577">
            <v>0</v>
          </cell>
          <cell r="C577" t="str">
            <v>Total 01.09.01</v>
          </cell>
          <cell r="D577">
            <v>1</v>
          </cell>
          <cell r="E577">
            <v>0</v>
          </cell>
          <cell r="F577">
            <v>0</v>
          </cell>
          <cell r="G577">
            <v>19239.74802259888</v>
          </cell>
          <cell r="H577">
            <v>3190.4546440677982</v>
          </cell>
          <cell r="I577">
            <v>22430.202666666679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01.09.02</v>
          </cell>
          <cell r="B579" t="str">
            <v>Partida</v>
          </cell>
          <cell r="C579" t="str">
            <v>Polimetal con visor vertical, 2 hojas de puerta batiente con tragaluz de 0.50m; 2.00x2.80m, P1</v>
          </cell>
          <cell r="D579">
            <v>1</v>
          </cell>
          <cell r="E579" t="str">
            <v>u</v>
          </cell>
          <cell r="F579">
            <v>0</v>
          </cell>
          <cell r="G579">
            <v>21159.164469554253</v>
          </cell>
          <cell r="H579">
            <v>3535.9496045197652</v>
          </cell>
          <cell r="I579">
            <v>24695.114074074019</v>
          </cell>
        </row>
        <row r="580">
          <cell r="A580" t="str">
            <v>P4005042</v>
          </cell>
          <cell r="B580" t="str">
            <v>Material</v>
          </cell>
          <cell r="C580" t="str">
            <v>Puerta Polimetal c/Visor Vertical, 2H Batiente, 2.00 x 2.80 m</v>
          </cell>
          <cell r="D580">
            <v>1</v>
          </cell>
          <cell r="E580" t="str">
            <v>u</v>
          </cell>
          <cell r="F580">
            <v>19194.164469554253</v>
          </cell>
          <cell r="G580">
            <v>19194.164469554253</v>
          </cell>
          <cell r="H580">
            <v>3454.9496045197652</v>
          </cell>
          <cell r="I580">
            <v>22649.114074074019</v>
          </cell>
        </row>
        <row r="581">
          <cell r="A581" t="str">
            <v>P2201029</v>
          </cell>
          <cell r="B581" t="str">
            <v>Material</v>
          </cell>
          <cell r="C581" t="str">
            <v>Cerradura Schlage o similar c/ Regular</v>
          </cell>
          <cell r="D581">
            <v>1</v>
          </cell>
          <cell r="E581" t="str">
            <v>u</v>
          </cell>
          <cell r="F581">
            <v>450</v>
          </cell>
          <cell r="G581">
            <v>450</v>
          </cell>
          <cell r="H581">
            <v>81</v>
          </cell>
          <cell r="I581">
            <v>531</v>
          </cell>
        </row>
        <row r="582">
          <cell r="A582" t="str">
            <v>H0920567</v>
          </cell>
          <cell r="B582" t="str">
            <v>Mano de obra</v>
          </cell>
          <cell r="C582" t="str">
            <v>M.O. Instalación Puerta Polimetal, 2H</v>
          </cell>
          <cell r="D582">
            <v>1</v>
          </cell>
          <cell r="E582" t="str">
            <v>u</v>
          </cell>
          <cell r="F582">
            <v>1500</v>
          </cell>
          <cell r="G582">
            <v>1500</v>
          </cell>
          <cell r="H582">
            <v>0</v>
          </cell>
          <cell r="I582">
            <v>1500</v>
          </cell>
        </row>
        <row r="583">
          <cell r="A583" t="str">
            <v>H%FH</v>
          </cell>
          <cell r="B583" t="str">
            <v>Otros</v>
          </cell>
          <cell r="C583" t="str">
            <v>Factor Herramientas</v>
          </cell>
          <cell r="D583">
            <v>1</v>
          </cell>
          <cell r="E583" t="str">
            <v>%</v>
          </cell>
          <cell r="F583">
            <v>1500</v>
          </cell>
          <cell r="G583">
            <v>15</v>
          </cell>
          <cell r="H583">
            <v>0</v>
          </cell>
          <cell r="I583">
            <v>15</v>
          </cell>
        </row>
        <row r="584">
          <cell r="A584">
            <v>0</v>
          </cell>
          <cell r="B584">
            <v>0</v>
          </cell>
          <cell r="C584" t="str">
            <v>Total 01.09.02</v>
          </cell>
          <cell r="D584">
            <v>1</v>
          </cell>
          <cell r="E584">
            <v>0</v>
          </cell>
          <cell r="F584">
            <v>0</v>
          </cell>
          <cell r="G584">
            <v>21159.164469554253</v>
          </cell>
          <cell r="H584">
            <v>3535.9496045197652</v>
          </cell>
          <cell r="I584">
            <v>24695.114074074019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01.09.03</v>
          </cell>
          <cell r="B586" t="str">
            <v>Partida</v>
          </cell>
          <cell r="C586" t="str">
            <v>Polimetal con visor vertical, 2 hojas de puerta batiente con tragaluz de 0.50m; 2.40x2.80m, P7</v>
          </cell>
          <cell r="D586">
            <v>1</v>
          </cell>
          <cell r="E586" t="str">
            <v>u</v>
          </cell>
          <cell r="F586">
            <v>0</v>
          </cell>
          <cell r="G586">
            <v>24997.997363465209</v>
          </cell>
          <cell r="H586">
            <v>4226.939525423737</v>
          </cell>
          <cell r="I586">
            <v>29224.936888888944</v>
          </cell>
        </row>
        <row r="587">
          <cell r="A587" t="str">
            <v>P4005043</v>
          </cell>
          <cell r="B587" t="str">
            <v>Material</v>
          </cell>
          <cell r="C587" t="str">
            <v>Puerta Polimetal c/Visor Vertical, 2H Batiente, 2.40 x 2.80 m</v>
          </cell>
          <cell r="D587">
            <v>1</v>
          </cell>
          <cell r="E587" t="str">
            <v>u</v>
          </cell>
          <cell r="F587">
            <v>23032.997363465209</v>
          </cell>
          <cell r="G587">
            <v>23032.997363465209</v>
          </cell>
          <cell r="H587">
            <v>4145.939525423737</v>
          </cell>
          <cell r="I587">
            <v>27178.936888888944</v>
          </cell>
        </row>
        <row r="588">
          <cell r="A588" t="str">
            <v>P2201029</v>
          </cell>
          <cell r="B588" t="str">
            <v>Material</v>
          </cell>
          <cell r="C588" t="str">
            <v>Cerradura Schlage o similar c/ Regular</v>
          </cell>
          <cell r="D588">
            <v>1</v>
          </cell>
          <cell r="E588" t="str">
            <v>u</v>
          </cell>
          <cell r="F588">
            <v>450</v>
          </cell>
          <cell r="G588">
            <v>450</v>
          </cell>
          <cell r="H588">
            <v>81</v>
          </cell>
          <cell r="I588">
            <v>531</v>
          </cell>
        </row>
        <row r="589">
          <cell r="A589" t="str">
            <v>H0920567</v>
          </cell>
          <cell r="B589" t="str">
            <v>Mano de obra</v>
          </cell>
          <cell r="C589" t="str">
            <v>M.O. Instalación Puerta Polimetal, 2H</v>
          </cell>
          <cell r="D589">
            <v>1</v>
          </cell>
          <cell r="E589" t="str">
            <v>u</v>
          </cell>
          <cell r="F589">
            <v>1500</v>
          </cell>
          <cell r="G589">
            <v>1500</v>
          </cell>
          <cell r="H589">
            <v>0</v>
          </cell>
          <cell r="I589">
            <v>1500</v>
          </cell>
        </row>
        <row r="590">
          <cell r="A590" t="str">
            <v>H%FH</v>
          </cell>
          <cell r="B590" t="str">
            <v>Otros</v>
          </cell>
          <cell r="C590" t="str">
            <v>Factor Herramientas</v>
          </cell>
          <cell r="D590">
            <v>1</v>
          </cell>
          <cell r="E590" t="str">
            <v>%</v>
          </cell>
          <cell r="F590">
            <v>1500</v>
          </cell>
          <cell r="G590">
            <v>15</v>
          </cell>
          <cell r="H590">
            <v>0</v>
          </cell>
          <cell r="I590">
            <v>15</v>
          </cell>
        </row>
        <row r="591">
          <cell r="A591">
            <v>0</v>
          </cell>
          <cell r="B591">
            <v>0</v>
          </cell>
          <cell r="C591" t="str">
            <v>Total 01.09.03</v>
          </cell>
          <cell r="D591">
            <v>1</v>
          </cell>
          <cell r="E591">
            <v>0</v>
          </cell>
          <cell r="F591">
            <v>0</v>
          </cell>
          <cell r="G591">
            <v>24997.997363465209</v>
          </cell>
          <cell r="H591">
            <v>4226.939525423737</v>
          </cell>
          <cell r="I591">
            <v>29224.936888888944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01.09.04</v>
          </cell>
          <cell r="B593" t="str">
            <v>Partida</v>
          </cell>
          <cell r="C593" t="str">
            <v>Polimetal con visor vertical, 2 hojas de puerta batiente; 1.80x2.10m, P6</v>
          </cell>
          <cell r="D593">
            <v>1</v>
          </cell>
          <cell r="E593" t="str">
            <v>u</v>
          </cell>
          <cell r="F593">
            <v>0</v>
          </cell>
          <cell r="G593">
            <v>14921.061016949161</v>
          </cell>
          <cell r="H593">
            <v>2413.090983050849</v>
          </cell>
          <cell r="I593">
            <v>17334.152000000009</v>
          </cell>
        </row>
        <row r="594">
          <cell r="A594" t="str">
            <v>P4005044</v>
          </cell>
          <cell r="B594" t="str">
            <v>Material</v>
          </cell>
          <cell r="C594" t="str">
            <v>Puerta Polimetal c/Visor Vertical, 2H Batiente, 1.80 x 2.10 m</v>
          </cell>
          <cell r="D594">
            <v>1</v>
          </cell>
          <cell r="E594" t="str">
            <v>u</v>
          </cell>
          <cell r="F594">
            <v>12956.061016949161</v>
          </cell>
          <cell r="G594">
            <v>12956.061016949161</v>
          </cell>
          <cell r="H594">
            <v>2332.090983050849</v>
          </cell>
          <cell r="I594">
            <v>15288.152000000009</v>
          </cell>
        </row>
        <row r="595">
          <cell r="A595" t="str">
            <v>P2201029</v>
          </cell>
          <cell r="B595" t="str">
            <v>Material</v>
          </cell>
          <cell r="C595" t="str">
            <v>Cerradura Schlage o similar c/ Regular</v>
          </cell>
          <cell r="D595">
            <v>1</v>
          </cell>
          <cell r="E595" t="str">
            <v>u</v>
          </cell>
          <cell r="F595">
            <v>450</v>
          </cell>
          <cell r="G595">
            <v>450</v>
          </cell>
          <cell r="H595">
            <v>81</v>
          </cell>
          <cell r="I595">
            <v>531</v>
          </cell>
        </row>
        <row r="596">
          <cell r="A596" t="str">
            <v>H0920567</v>
          </cell>
          <cell r="B596" t="str">
            <v>Mano de obra</v>
          </cell>
          <cell r="C596" t="str">
            <v>M.O. Instalación Puerta Polimetal, 2H</v>
          </cell>
          <cell r="D596">
            <v>1</v>
          </cell>
          <cell r="E596" t="str">
            <v>u</v>
          </cell>
          <cell r="F596">
            <v>1500</v>
          </cell>
          <cell r="G596">
            <v>1500</v>
          </cell>
          <cell r="H596">
            <v>0</v>
          </cell>
          <cell r="I596">
            <v>1500</v>
          </cell>
        </row>
        <row r="597">
          <cell r="A597" t="str">
            <v>H%FH</v>
          </cell>
          <cell r="B597" t="str">
            <v>Otros</v>
          </cell>
          <cell r="C597" t="str">
            <v>Factor Herramientas</v>
          </cell>
          <cell r="D597">
            <v>1</v>
          </cell>
          <cell r="E597" t="str">
            <v>%</v>
          </cell>
          <cell r="F597">
            <v>1500</v>
          </cell>
          <cell r="G597">
            <v>15</v>
          </cell>
          <cell r="H597">
            <v>0</v>
          </cell>
          <cell r="I597">
            <v>15</v>
          </cell>
        </row>
        <row r="598">
          <cell r="A598">
            <v>0</v>
          </cell>
          <cell r="B598">
            <v>0</v>
          </cell>
          <cell r="C598" t="str">
            <v>Total 01.09.04</v>
          </cell>
          <cell r="D598">
            <v>1</v>
          </cell>
          <cell r="E598">
            <v>0</v>
          </cell>
          <cell r="F598">
            <v>0</v>
          </cell>
          <cell r="G598">
            <v>14921.061016949161</v>
          </cell>
          <cell r="H598">
            <v>2413.090983050849</v>
          </cell>
          <cell r="I598">
            <v>17334.152000000009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01.09.05</v>
          </cell>
          <cell r="B600" t="str">
            <v>Partida</v>
          </cell>
          <cell r="C600" t="str">
            <v>Puerta 0.80mt x 2.10mt, Polimetal Lisa</v>
          </cell>
          <cell r="D600">
            <v>1</v>
          </cell>
          <cell r="E600" t="str">
            <v>u</v>
          </cell>
          <cell r="F600">
            <v>0</v>
          </cell>
          <cell r="G600">
            <v>7887.5305084745805</v>
          </cell>
          <cell r="H600">
            <v>1247.0454915254245</v>
          </cell>
          <cell r="I600">
            <v>9134.5760000000046</v>
          </cell>
        </row>
        <row r="601">
          <cell r="A601" t="str">
            <v>P4005031</v>
          </cell>
          <cell r="B601" t="str">
            <v>Material</v>
          </cell>
          <cell r="C601" t="str">
            <v>Puerta Polimetal Lisa, 1H Batiente, 0.80 x 2.10 m</v>
          </cell>
          <cell r="D601">
            <v>1</v>
          </cell>
          <cell r="E601" t="str">
            <v>u</v>
          </cell>
          <cell r="F601">
            <v>6478.0305084745805</v>
          </cell>
          <cell r="G601">
            <v>6478.0305084745805</v>
          </cell>
          <cell r="H601">
            <v>1166.0454915254245</v>
          </cell>
          <cell r="I601">
            <v>7644.0760000000046</v>
          </cell>
        </row>
        <row r="602">
          <cell r="A602" t="str">
            <v>P2201029</v>
          </cell>
          <cell r="B602" t="str">
            <v>Material</v>
          </cell>
          <cell r="C602" t="str">
            <v>Cerradura Schlage o similar c/ Regular</v>
          </cell>
          <cell r="D602">
            <v>1</v>
          </cell>
          <cell r="E602" t="str">
            <v>u</v>
          </cell>
          <cell r="F602">
            <v>450</v>
          </cell>
          <cell r="G602">
            <v>450</v>
          </cell>
          <cell r="H602">
            <v>81</v>
          </cell>
          <cell r="I602">
            <v>531</v>
          </cell>
        </row>
        <row r="603">
          <cell r="A603" t="str">
            <v>H0920566</v>
          </cell>
          <cell r="B603" t="str">
            <v>Mano de obra</v>
          </cell>
          <cell r="C603" t="str">
            <v>M.O. Instalación Puerta Polimetal, 1H</v>
          </cell>
          <cell r="D603">
            <v>1</v>
          </cell>
          <cell r="E603" t="str">
            <v>u</v>
          </cell>
          <cell r="F603">
            <v>950</v>
          </cell>
          <cell r="G603">
            <v>950</v>
          </cell>
          <cell r="H603">
            <v>0</v>
          </cell>
          <cell r="I603">
            <v>950</v>
          </cell>
        </row>
        <row r="604">
          <cell r="A604" t="str">
            <v>H%FH</v>
          </cell>
          <cell r="B604" t="str">
            <v>Otros</v>
          </cell>
          <cell r="C604" t="str">
            <v>Factor Herramientas</v>
          </cell>
          <cell r="D604">
            <v>1</v>
          </cell>
          <cell r="E604" t="str">
            <v>%</v>
          </cell>
          <cell r="F604">
            <v>950</v>
          </cell>
          <cell r="G604">
            <v>9.5</v>
          </cell>
          <cell r="H604">
            <v>0</v>
          </cell>
          <cell r="I604">
            <v>9.5</v>
          </cell>
        </row>
        <row r="605">
          <cell r="A605">
            <v>0</v>
          </cell>
          <cell r="B605">
            <v>0</v>
          </cell>
          <cell r="C605" t="str">
            <v>Total 01.09.05</v>
          </cell>
          <cell r="D605">
            <v>1</v>
          </cell>
          <cell r="E605">
            <v>0</v>
          </cell>
          <cell r="F605">
            <v>0</v>
          </cell>
          <cell r="G605">
            <v>7887.5305084745805</v>
          </cell>
          <cell r="H605">
            <v>1247.0454915254245</v>
          </cell>
          <cell r="I605">
            <v>9134.5760000000046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01.09.06</v>
          </cell>
          <cell r="B607" t="str">
            <v>Partida</v>
          </cell>
          <cell r="C607" t="str">
            <v>Puerta 1.05mt x 2.40mt en Hierro Forrado de Tola, Puerta Batiente</v>
          </cell>
          <cell r="D607">
            <v>1</v>
          </cell>
          <cell r="E607" t="str">
            <v>m²</v>
          </cell>
          <cell r="F607">
            <v>0</v>
          </cell>
          <cell r="G607">
            <v>36605.520000000004</v>
          </cell>
          <cell r="H607">
            <v>0</v>
          </cell>
          <cell r="I607">
            <v>36605.520000000004</v>
          </cell>
        </row>
        <row r="608">
          <cell r="A608" t="str">
            <v>SC040738</v>
          </cell>
          <cell r="B608" t="str">
            <v>Otros</v>
          </cell>
          <cell r="C608" t="str">
            <v>Sum./ Instalación Puerta 1.05mt x 2.40mt en Hierro Forrado de Tola, Puerta Batiente, Inc. Cerradura</v>
          </cell>
          <cell r="D608">
            <v>1</v>
          </cell>
          <cell r="E608" t="str">
            <v>u</v>
          </cell>
          <cell r="F608">
            <v>36605.520000000004</v>
          </cell>
          <cell r="G608">
            <v>36605.520000000004</v>
          </cell>
          <cell r="H608">
            <v>0</v>
          </cell>
          <cell r="I608">
            <v>36605.520000000004</v>
          </cell>
        </row>
        <row r="609">
          <cell r="A609">
            <v>0</v>
          </cell>
          <cell r="B609">
            <v>0</v>
          </cell>
          <cell r="C609" t="str">
            <v>Total 01.09.06</v>
          </cell>
          <cell r="D609">
            <v>1</v>
          </cell>
          <cell r="E609">
            <v>0</v>
          </cell>
          <cell r="F609">
            <v>0</v>
          </cell>
          <cell r="G609">
            <v>36605.520000000004</v>
          </cell>
          <cell r="H609">
            <v>0</v>
          </cell>
          <cell r="I609">
            <v>36605.520000000004</v>
          </cell>
        </row>
        <row r="610">
          <cell r="A610">
            <v>0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</row>
        <row r="611">
          <cell r="A611" t="str">
            <v>01.09.07</v>
          </cell>
          <cell r="B611" t="str">
            <v>Partida</v>
          </cell>
          <cell r="C611" t="str">
            <v>Puerta 1.20mt x 2.40mt en Hierro de 3/4'', Puerta Batiente</v>
          </cell>
          <cell r="D611">
            <v>1</v>
          </cell>
          <cell r="E611" t="str">
            <v>m²</v>
          </cell>
          <cell r="F611">
            <v>0</v>
          </cell>
          <cell r="G611">
            <v>25937.625599999996</v>
          </cell>
          <cell r="H611">
            <v>0</v>
          </cell>
          <cell r="I611">
            <v>25937.625599999996</v>
          </cell>
        </row>
        <row r="612">
          <cell r="A612" t="str">
            <v>SC040739</v>
          </cell>
          <cell r="B612" t="str">
            <v>Otros</v>
          </cell>
          <cell r="C612" t="str">
            <v>Sum./ Instalación Puerta 1.20mt x 2.40mt en Hierro de 3/4'', Puerta Batiente</v>
          </cell>
          <cell r="D612">
            <v>1</v>
          </cell>
          <cell r="E612" t="str">
            <v>u</v>
          </cell>
          <cell r="F612">
            <v>25937.625599999996</v>
          </cell>
          <cell r="G612">
            <v>25937.625599999996</v>
          </cell>
          <cell r="H612">
            <v>0</v>
          </cell>
          <cell r="I612">
            <v>25937.625599999996</v>
          </cell>
        </row>
        <row r="613">
          <cell r="A613">
            <v>0</v>
          </cell>
          <cell r="B613">
            <v>0</v>
          </cell>
          <cell r="C613" t="str">
            <v>Total 01.09.07</v>
          </cell>
          <cell r="D613">
            <v>1</v>
          </cell>
          <cell r="E613">
            <v>0</v>
          </cell>
          <cell r="F613">
            <v>0</v>
          </cell>
          <cell r="G613">
            <v>25937.625599999996</v>
          </cell>
          <cell r="H613">
            <v>0</v>
          </cell>
          <cell r="I613">
            <v>25937.625599999996</v>
          </cell>
        </row>
        <row r="614">
          <cell r="A614">
            <v>0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01.09.08</v>
          </cell>
          <cell r="B615" t="str">
            <v>Partida</v>
          </cell>
          <cell r="C615" t="str">
            <v>Puerta Acceso Doble 2.00mt.x2.50mt., con cerradura de Acero en hierro de  Ø ¾ ¨ segun detalle en planos</v>
          </cell>
          <cell r="D615">
            <v>1</v>
          </cell>
          <cell r="E615" t="str">
            <v>m²</v>
          </cell>
          <cell r="F615">
            <v>0</v>
          </cell>
          <cell r="G615">
            <v>45030.599999999991</v>
          </cell>
          <cell r="H615">
            <v>0</v>
          </cell>
          <cell r="I615">
            <v>45030.599999999991</v>
          </cell>
        </row>
        <row r="616">
          <cell r="A616" t="str">
            <v>SC040740</v>
          </cell>
          <cell r="B616" t="str">
            <v>Otros</v>
          </cell>
          <cell r="C616" t="str">
            <v>Sum./ Instalación Puerta Doble 2.00mt.x2.50mt., con cerradura de Acero en hierro de  Ø ¾ ¨</v>
          </cell>
          <cell r="D616">
            <v>1</v>
          </cell>
          <cell r="E616" t="str">
            <v>u</v>
          </cell>
          <cell r="F616">
            <v>45030.599999999991</v>
          </cell>
          <cell r="G616">
            <v>45030.599999999991</v>
          </cell>
          <cell r="H616">
            <v>0</v>
          </cell>
          <cell r="I616">
            <v>45030.599999999991</v>
          </cell>
        </row>
        <row r="617">
          <cell r="A617">
            <v>0</v>
          </cell>
          <cell r="B617">
            <v>0</v>
          </cell>
          <cell r="C617" t="str">
            <v>Total 01.09.08</v>
          </cell>
          <cell r="D617">
            <v>1</v>
          </cell>
          <cell r="E617">
            <v>0</v>
          </cell>
          <cell r="F617">
            <v>0</v>
          </cell>
          <cell r="G617">
            <v>45030.599999999991</v>
          </cell>
          <cell r="H617">
            <v>0</v>
          </cell>
          <cell r="I617">
            <v>45030.599999999991</v>
          </cell>
        </row>
        <row r="618">
          <cell r="A618">
            <v>0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01.09.09</v>
          </cell>
          <cell r="B619" t="str">
            <v>Partida</v>
          </cell>
          <cell r="C619" t="str">
            <v>Puerta batiente de polimetal lisa; 0.90x2.80m, P5</v>
          </cell>
          <cell r="D619">
            <v>1</v>
          </cell>
          <cell r="E619" t="str">
            <v>u</v>
          </cell>
          <cell r="F619">
            <v>0</v>
          </cell>
          <cell r="G619">
            <v>10046.874011299429</v>
          </cell>
          <cell r="H619">
            <v>1635.7273220338973</v>
          </cell>
          <cell r="I619">
            <v>11682.601333333327</v>
          </cell>
        </row>
        <row r="620">
          <cell r="A620" t="str">
            <v>P4005046</v>
          </cell>
          <cell r="B620" t="str">
            <v>Material</v>
          </cell>
          <cell r="C620" t="str">
            <v>Puerta Polimetal Lisa, 1H Batiente, 0.90 x 2.80 m</v>
          </cell>
          <cell r="D620">
            <v>1</v>
          </cell>
          <cell r="E620" t="str">
            <v>u</v>
          </cell>
          <cell r="F620">
            <v>8637.3740112994292</v>
          </cell>
          <cell r="G620">
            <v>8637.3740112994292</v>
          </cell>
          <cell r="H620">
            <v>1554.7273220338973</v>
          </cell>
          <cell r="I620">
            <v>10192.101333333327</v>
          </cell>
        </row>
        <row r="621">
          <cell r="A621" t="str">
            <v>P2201029</v>
          </cell>
          <cell r="B621" t="str">
            <v>Material</v>
          </cell>
          <cell r="C621" t="str">
            <v>Cerradura Schlage o similar c/ Regular</v>
          </cell>
          <cell r="D621">
            <v>1</v>
          </cell>
          <cell r="E621" t="str">
            <v>u</v>
          </cell>
          <cell r="F621">
            <v>450</v>
          </cell>
          <cell r="G621">
            <v>450</v>
          </cell>
          <cell r="H621">
            <v>81</v>
          </cell>
          <cell r="I621">
            <v>531</v>
          </cell>
        </row>
        <row r="622">
          <cell r="A622" t="str">
            <v>H0920566</v>
          </cell>
          <cell r="B622" t="str">
            <v>Mano de obra</v>
          </cell>
          <cell r="C622" t="str">
            <v>M.O. Instalación Puerta Polimetal, 1H</v>
          </cell>
          <cell r="D622">
            <v>1</v>
          </cell>
          <cell r="E622" t="str">
            <v>u</v>
          </cell>
          <cell r="F622">
            <v>950</v>
          </cell>
          <cell r="G622">
            <v>950</v>
          </cell>
          <cell r="H622">
            <v>0</v>
          </cell>
          <cell r="I622">
            <v>950</v>
          </cell>
        </row>
        <row r="623">
          <cell r="A623" t="str">
            <v>H%FH</v>
          </cell>
          <cell r="B623" t="str">
            <v>Otros</v>
          </cell>
          <cell r="C623" t="str">
            <v>Factor Herramientas</v>
          </cell>
          <cell r="D623">
            <v>1</v>
          </cell>
          <cell r="E623" t="str">
            <v>%</v>
          </cell>
          <cell r="F623">
            <v>950</v>
          </cell>
          <cell r="G623">
            <v>9.5</v>
          </cell>
          <cell r="H623">
            <v>0</v>
          </cell>
          <cell r="I623">
            <v>9.5</v>
          </cell>
        </row>
        <row r="624">
          <cell r="A624">
            <v>0</v>
          </cell>
          <cell r="B624">
            <v>0</v>
          </cell>
          <cell r="C624" t="str">
            <v>Total 01.09.09</v>
          </cell>
          <cell r="D624">
            <v>1</v>
          </cell>
          <cell r="E624">
            <v>0</v>
          </cell>
          <cell r="F624">
            <v>0</v>
          </cell>
          <cell r="G624">
            <v>10046.874011299429</v>
          </cell>
          <cell r="H624">
            <v>1635.7273220338973</v>
          </cell>
          <cell r="I624">
            <v>11682.601333333327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01.09.10</v>
          </cell>
          <cell r="B626" t="str">
            <v>Partida</v>
          </cell>
          <cell r="C626" t="str">
            <v>Puerta batiente de polimetal lisa; 1.00x2.80m, P4</v>
          </cell>
          <cell r="D626">
            <v>1</v>
          </cell>
          <cell r="E626" t="str">
            <v>u</v>
          </cell>
          <cell r="F626">
            <v>0</v>
          </cell>
          <cell r="G626">
            <v>10296.505649717514</v>
          </cell>
          <cell r="H626">
            <v>1680.6610169491523</v>
          </cell>
          <cell r="I626">
            <v>11977.166666666666</v>
          </cell>
        </row>
        <row r="627">
          <cell r="A627" t="str">
            <v>P4005047</v>
          </cell>
          <cell r="B627" t="str">
            <v>Material</v>
          </cell>
          <cell r="C627" t="str">
            <v>Puerta Polimetal Lisa, 1H Batiente, 1.00 x 2.80 m</v>
          </cell>
          <cell r="D627">
            <v>1</v>
          </cell>
          <cell r="E627" t="str">
            <v>u</v>
          </cell>
          <cell r="F627">
            <v>8887.0056497175137</v>
          </cell>
          <cell r="G627">
            <v>8887.0056497175137</v>
          </cell>
          <cell r="H627">
            <v>1599.6610169491523</v>
          </cell>
          <cell r="I627">
            <v>10486.666666666666</v>
          </cell>
        </row>
        <row r="628">
          <cell r="A628" t="str">
            <v>P2201029</v>
          </cell>
          <cell r="B628" t="str">
            <v>Material</v>
          </cell>
          <cell r="C628" t="str">
            <v>Cerradura Schlage o similar c/ Regular</v>
          </cell>
          <cell r="D628">
            <v>1</v>
          </cell>
          <cell r="E628" t="str">
            <v>u</v>
          </cell>
          <cell r="F628">
            <v>450</v>
          </cell>
          <cell r="G628">
            <v>450</v>
          </cell>
          <cell r="H628">
            <v>81</v>
          </cell>
          <cell r="I628">
            <v>531</v>
          </cell>
        </row>
        <row r="629">
          <cell r="A629" t="str">
            <v>H0920566</v>
          </cell>
          <cell r="B629" t="str">
            <v>Mano de obra</v>
          </cell>
          <cell r="C629" t="str">
            <v>M.O. Instalación Puerta Polimetal, 1H</v>
          </cell>
          <cell r="D629">
            <v>1</v>
          </cell>
          <cell r="E629" t="str">
            <v>u</v>
          </cell>
          <cell r="F629">
            <v>950</v>
          </cell>
          <cell r="G629">
            <v>950</v>
          </cell>
          <cell r="H629">
            <v>0</v>
          </cell>
          <cell r="I629">
            <v>950</v>
          </cell>
        </row>
        <row r="630">
          <cell r="A630" t="str">
            <v>H%FH</v>
          </cell>
          <cell r="B630" t="str">
            <v>Otros</v>
          </cell>
          <cell r="C630" t="str">
            <v>Factor Herramientas</v>
          </cell>
          <cell r="D630">
            <v>1</v>
          </cell>
          <cell r="E630" t="str">
            <v>%</v>
          </cell>
          <cell r="F630">
            <v>950</v>
          </cell>
          <cell r="G630">
            <v>9.5</v>
          </cell>
          <cell r="H630">
            <v>0</v>
          </cell>
          <cell r="I630">
            <v>9.5</v>
          </cell>
        </row>
        <row r="631">
          <cell r="A631">
            <v>0</v>
          </cell>
          <cell r="B631">
            <v>0</v>
          </cell>
          <cell r="C631" t="str">
            <v>Total 01.09.10</v>
          </cell>
          <cell r="D631">
            <v>1</v>
          </cell>
          <cell r="E631">
            <v>0</v>
          </cell>
          <cell r="F631">
            <v>0</v>
          </cell>
          <cell r="G631">
            <v>10296.505649717514</v>
          </cell>
          <cell r="H631">
            <v>1680.6610169491523</v>
          </cell>
          <cell r="I631">
            <v>11977.166666666666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01.09.11</v>
          </cell>
          <cell r="B633" t="str">
            <v>Partida</v>
          </cell>
          <cell r="C633" t="str">
            <v>Puerta batiente interior de hierro en caja de escalera 1.00m x 2.10m</v>
          </cell>
          <cell r="D633">
            <v>1</v>
          </cell>
          <cell r="E633" t="str">
            <v>u</v>
          </cell>
          <cell r="F633">
            <v>0</v>
          </cell>
          <cell r="G633">
            <v>30504.600000000002</v>
          </cell>
          <cell r="H633">
            <v>0</v>
          </cell>
          <cell r="I633">
            <v>30504.600000000002</v>
          </cell>
        </row>
        <row r="634">
          <cell r="A634" t="str">
            <v>SC040727</v>
          </cell>
          <cell r="B634" t="str">
            <v>Otros</v>
          </cell>
          <cell r="C634" t="str">
            <v>Sum./ Instalación Puerta batiente de hierro 1.00m x 2.10m</v>
          </cell>
          <cell r="D634">
            <v>1</v>
          </cell>
          <cell r="E634" t="str">
            <v>u</v>
          </cell>
          <cell r="F634">
            <v>30504.600000000002</v>
          </cell>
          <cell r="G634">
            <v>30504.600000000002</v>
          </cell>
          <cell r="H634">
            <v>0</v>
          </cell>
          <cell r="I634">
            <v>30504.600000000002</v>
          </cell>
        </row>
        <row r="635">
          <cell r="A635">
            <v>0</v>
          </cell>
          <cell r="B635">
            <v>0</v>
          </cell>
          <cell r="C635" t="str">
            <v>Total 01.09.11</v>
          </cell>
          <cell r="D635">
            <v>1</v>
          </cell>
          <cell r="E635">
            <v>0</v>
          </cell>
          <cell r="F635">
            <v>0</v>
          </cell>
          <cell r="G635">
            <v>30504.600000000002</v>
          </cell>
          <cell r="H635">
            <v>0</v>
          </cell>
          <cell r="I635">
            <v>30504.600000000002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01.09.12</v>
          </cell>
          <cell r="B637" t="str">
            <v>Partida</v>
          </cell>
          <cell r="C637" t="str">
            <v>Puerta con Sistema Plegadizo para entrada de Autobuses (Ver especificaciones Técnicas)</v>
          </cell>
          <cell r="D637">
            <v>1</v>
          </cell>
          <cell r="E637" t="str">
            <v>u</v>
          </cell>
          <cell r="F637">
            <v>0</v>
          </cell>
          <cell r="G637">
            <v>613000</v>
          </cell>
          <cell r="H637">
            <v>0</v>
          </cell>
          <cell r="I637">
            <v>613000</v>
          </cell>
        </row>
        <row r="638">
          <cell r="A638" t="str">
            <v>SC040728</v>
          </cell>
          <cell r="B638" t="str">
            <v>Otros</v>
          </cell>
          <cell r="C638" t="str">
            <v>Sum./ Instalación Puerta con Sistema Plegadizo para entrada de Autobuses</v>
          </cell>
          <cell r="D638">
            <v>1</v>
          </cell>
          <cell r="E638" t="str">
            <v>u</v>
          </cell>
          <cell r="F638">
            <v>613000</v>
          </cell>
          <cell r="G638">
            <v>613000</v>
          </cell>
          <cell r="H638">
            <v>0</v>
          </cell>
          <cell r="I638">
            <v>613000</v>
          </cell>
        </row>
        <row r="639">
          <cell r="A639">
            <v>0</v>
          </cell>
          <cell r="B639">
            <v>0</v>
          </cell>
          <cell r="C639" t="str">
            <v>Total 01.09.12</v>
          </cell>
          <cell r="D639">
            <v>1</v>
          </cell>
          <cell r="E639">
            <v>0</v>
          </cell>
          <cell r="F639">
            <v>0</v>
          </cell>
          <cell r="G639">
            <v>613000</v>
          </cell>
          <cell r="H639">
            <v>0</v>
          </cell>
          <cell r="I639">
            <v>613000</v>
          </cell>
        </row>
        <row r="640">
          <cell r="A640">
            <v>0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01.09.13</v>
          </cell>
          <cell r="B641" t="str">
            <v>Partida</v>
          </cell>
          <cell r="C641" t="str">
            <v>Puerta de Barrotes de Hierro de 3/4" 2.00m x 2.40m; 2 paneles corredizos de L=1.00m y L=1.00m, P3</v>
          </cell>
          <cell r="D641">
            <v>1</v>
          </cell>
          <cell r="E641" t="str">
            <v>m²</v>
          </cell>
          <cell r="F641">
            <v>0</v>
          </cell>
          <cell r="G641">
            <v>9006.119999999999</v>
          </cell>
          <cell r="H641">
            <v>0</v>
          </cell>
          <cell r="I641">
            <v>9006.119999999999</v>
          </cell>
        </row>
        <row r="642">
          <cell r="A642" t="str">
            <v>SC040729</v>
          </cell>
          <cell r="B642" t="str">
            <v>Otros</v>
          </cell>
          <cell r="C642" t="str">
            <v>Sum./ Instalación de Puerta de Barrotes de Hierro de 3/4", c/Sistema de Riel</v>
          </cell>
          <cell r="D642">
            <v>1</v>
          </cell>
          <cell r="E642" t="str">
            <v>m²</v>
          </cell>
          <cell r="F642">
            <v>9006.119999999999</v>
          </cell>
          <cell r="G642">
            <v>9006.119999999999</v>
          </cell>
          <cell r="H642">
            <v>0</v>
          </cell>
          <cell r="I642">
            <v>9006.119999999999</v>
          </cell>
        </row>
        <row r="643">
          <cell r="A643">
            <v>0</v>
          </cell>
          <cell r="B643">
            <v>0</v>
          </cell>
          <cell r="C643" t="str">
            <v>Total 01.09.13</v>
          </cell>
          <cell r="D643">
            <v>1</v>
          </cell>
          <cell r="E643">
            <v>0</v>
          </cell>
          <cell r="F643">
            <v>0</v>
          </cell>
          <cell r="G643">
            <v>9006.119999999999</v>
          </cell>
          <cell r="H643">
            <v>0</v>
          </cell>
          <cell r="I643">
            <v>9006.119999999999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01.09.14</v>
          </cell>
          <cell r="B645" t="str">
            <v>Partida</v>
          </cell>
          <cell r="C645" t="str">
            <v>Puerta de cisterna de 1.00*1.00 mts</v>
          </cell>
          <cell r="D645">
            <v>1</v>
          </cell>
          <cell r="E645" t="str">
            <v>u</v>
          </cell>
          <cell r="F645">
            <v>0</v>
          </cell>
          <cell r="G645">
            <v>16515</v>
          </cell>
          <cell r="H645">
            <v>2700</v>
          </cell>
          <cell r="I645">
            <v>19215</v>
          </cell>
        </row>
        <row r="646">
          <cell r="A646" t="str">
            <v>P0918082</v>
          </cell>
          <cell r="B646" t="str">
            <v>Material</v>
          </cell>
          <cell r="C646" t="str">
            <v>Tapa Reforzada p/ Cisterna 1.00x1.00 m</v>
          </cell>
          <cell r="D646">
            <v>1</v>
          </cell>
          <cell r="E646" t="str">
            <v>u</v>
          </cell>
          <cell r="F646">
            <v>15000</v>
          </cell>
          <cell r="G646">
            <v>15000</v>
          </cell>
          <cell r="H646">
            <v>2700</v>
          </cell>
          <cell r="I646">
            <v>17700</v>
          </cell>
        </row>
        <row r="647">
          <cell r="A647" t="str">
            <v>H0918081</v>
          </cell>
          <cell r="B647" t="str">
            <v>Mano de obra</v>
          </cell>
          <cell r="C647" t="str">
            <v>M.O. Instalación Tapa Metálica p/ Cisterna</v>
          </cell>
          <cell r="D647">
            <v>1</v>
          </cell>
          <cell r="E647" t="str">
            <v>u</v>
          </cell>
          <cell r="F647">
            <v>1500</v>
          </cell>
          <cell r="G647">
            <v>1500</v>
          </cell>
          <cell r="H647">
            <v>0</v>
          </cell>
          <cell r="I647">
            <v>1500</v>
          </cell>
        </row>
        <row r="648">
          <cell r="A648" t="str">
            <v>H%FH</v>
          </cell>
          <cell r="B648" t="str">
            <v>Otros</v>
          </cell>
          <cell r="C648" t="str">
            <v>Factor Herramientas</v>
          </cell>
          <cell r="D648">
            <v>1</v>
          </cell>
          <cell r="E648" t="str">
            <v>%</v>
          </cell>
          <cell r="F648">
            <v>1500</v>
          </cell>
          <cell r="G648">
            <v>15</v>
          </cell>
          <cell r="H648">
            <v>0</v>
          </cell>
          <cell r="I648">
            <v>15</v>
          </cell>
        </row>
        <row r="649">
          <cell r="A649">
            <v>0</v>
          </cell>
          <cell r="B649">
            <v>0</v>
          </cell>
          <cell r="C649" t="str">
            <v>Total 01.09.14</v>
          </cell>
          <cell r="D649">
            <v>1</v>
          </cell>
          <cell r="E649">
            <v>0</v>
          </cell>
          <cell r="F649">
            <v>0</v>
          </cell>
          <cell r="G649">
            <v>16515</v>
          </cell>
          <cell r="H649">
            <v>2700</v>
          </cell>
          <cell r="I649">
            <v>19215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01.09.15</v>
          </cell>
          <cell r="B651" t="str">
            <v>Partida</v>
          </cell>
          <cell r="C651" t="str">
            <v>Puerta de hierro de 3/4, 1 hoja corrediza; 1.20x2.50m, P14</v>
          </cell>
          <cell r="D651">
            <v>1</v>
          </cell>
          <cell r="E651" t="str">
            <v>u</v>
          </cell>
          <cell r="F651">
            <v>0</v>
          </cell>
          <cell r="G651">
            <v>27018.359999999997</v>
          </cell>
          <cell r="H651">
            <v>0</v>
          </cell>
          <cell r="I651">
            <v>27018.359999999997</v>
          </cell>
        </row>
        <row r="652">
          <cell r="A652" t="str">
            <v>SC040731</v>
          </cell>
          <cell r="B652" t="str">
            <v>Otros</v>
          </cell>
          <cell r="C652" t="str">
            <v>Sum./ Instalación de Puerta de hierro de 3/4, 1 hoja corrediza; 1.20x2.50m</v>
          </cell>
          <cell r="D652">
            <v>1</v>
          </cell>
          <cell r="E652" t="str">
            <v>u</v>
          </cell>
          <cell r="F652">
            <v>27018.359999999997</v>
          </cell>
          <cell r="G652">
            <v>27018.359999999997</v>
          </cell>
          <cell r="H652">
            <v>0</v>
          </cell>
          <cell r="I652">
            <v>27018.359999999997</v>
          </cell>
        </row>
        <row r="653">
          <cell r="A653">
            <v>0</v>
          </cell>
          <cell r="B653">
            <v>0</v>
          </cell>
          <cell r="C653" t="str">
            <v>Total 01.09.15</v>
          </cell>
          <cell r="D653">
            <v>1</v>
          </cell>
          <cell r="E653">
            <v>0</v>
          </cell>
          <cell r="F653">
            <v>0</v>
          </cell>
          <cell r="G653">
            <v>27018.359999999997</v>
          </cell>
          <cell r="H653">
            <v>0</v>
          </cell>
          <cell r="I653">
            <v>27018.359999999997</v>
          </cell>
        </row>
        <row r="654">
          <cell r="A654">
            <v>0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01.09.16</v>
          </cell>
          <cell r="B655" t="str">
            <v>Partida</v>
          </cell>
          <cell r="C655" t="str">
            <v>Puerta de hierro de 3/4, 1 hoja fija y 1 hoja corrediza; 1.70x2.80m, P12</v>
          </cell>
          <cell r="D655">
            <v>1</v>
          </cell>
          <cell r="E655" t="str">
            <v>u</v>
          </cell>
          <cell r="F655">
            <v>0</v>
          </cell>
          <cell r="G655">
            <v>42869.131199999996</v>
          </cell>
          <cell r="H655">
            <v>0</v>
          </cell>
          <cell r="I655">
            <v>42869.131199999996</v>
          </cell>
        </row>
        <row r="656">
          <cell r="A656" t="str">
            <v>SC040732</v>
          </cell>
          <cell r="B656" t="str">
            <v>Otros</v>
          </cell>
          <cell r="C656" t="str">
            <v>Sum./ Instalación de Puerta de hierro de 3/4, 1 hoja fija y 1 hoja corrediza; 1.70x2.80m</v>
          </cell>
          <cell r="D656">
            <v>1</v>
          </cell>
          <cell r="E656" t="str">
            <v>u</v>
          </cell>
          <cell r="F656">
            <v>42869.131199999996</v>
          </cell>
          <cell r="G656">
            <v>42869.131199999996</v>
          </cell>
          <cell r="H656">
            <v>0</v>
          </cell>
          <cell r="I656">
            <v>42869.131199999996</v>
          </cell>
        </row>
        <row r="657">
          <cell r="A657">
            <v>0</v>
          </cell>
          <cell r="B657">
            <v>0</v>
          </cell>
          <cell r="C657" t="str">
            <v>Total 01.09.16</v>
          </cell>
          <cell r="D657">
            <v>1</v>
          </cell>
          <cell r="E657">
            <v>0</v>
          </cell>
          <cell r="F657">
            <v>0</v>
          </cell>
          <cell r="G657">
            <v>42869.131199999996</v>
          </cell>
          <cell r="H657">
            <v>0</v>
          </cell>
          <cell r="I657">
            <v>42869.131199999996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01.09.17</v>
          </cell>
          <cell r="B659" t="str">
            <v>Partida</v>
          </cell>
          <cell r="C659" t="str">
            <v>Puerta de hierro de 3/4, 1 hoja fija y 1 hoja corrediza; 2.15x2.50m, P9</v>
          </cell>
          <cell r="D659">
            <v>1</v>
          </cell>
          <cell r="E659" t="str">
            <v>u</v>
          </cell>
          <cell r="F659">
            <v>0</v>
          </cell>
          <cell r="G659">
            <v>48407.89499999999</v>
          </cell>
          <cell r="H659">
            <v>0</v>
          </cell>
          <cell r="I659">
            <v>48407.89499999999</v>
          </cell>
        </row>
        <row r="660">
          <cell r="A660" t="str">
            <v>SC040733</v>
          </cell>
          <cell r="B660" t="str">
            <v>Otros</v>
          </cell>
          <cell r="C660" t="str">
            <v>Sum./ Instalación de Puerta de hierro de 3/4, 1 hoja fija y 1 hoja corrediza; 2.15x2.50m</v>
          </cell>
          <cell r="D660">
            <v>1</v>
          </cell>
          <cell r="E660" t="str">
            <v>u</v>
          </cell>
          <cell r="F660">
            <v>48407.89499999999</v>
          </cell>
          <cell r="G660">
            <v>48407.89499999999</v>
          </cell>
          <cell r="H660">
            <v>0</v>
          </cell>
          <cell r="I660">
            <v>48407.89499999999</v>
          </cell>
        </row>
        <row r="661">
          <cell r="A661">
            <v>0</v>
          </cell>
          <cell r="B661">
            <v>0</v>
          </cell>
          <cell r="C661" t="str">
            <v>Total 01.09.17</v>
          </cell>
          <cell r="D661">
            <v>1</v>
          </cell>
          <cell r="E661">
            <v>0</v>
          </cell>
          <cell r="F661">
            <v>0</v>
          </cell>
          <cell r="G661">
            <v>48407.89499999999</v>
          </cell>
          <cell r="H661">
            <v>0</v>
          </cell>
          <cell r="I661">
            <v>48407.89499999999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01.09.18</v>
          </cell>
          <cell r="B663" t="str">
            <v>Partida</v>
          </cell>
          <cell r="C663" t="str">
            <v>Puerta de hierro de 3/4, 1 hoja fija y 1 hoja corrediza; 2.20x2.80m, P13</v>
          </cell>
          <cell r="D663">
            <v>1</v>
          </cell>
          <cell r="E663" t="str">
            <v>u</v>
          </cell>
          <cell r="F663">
            <v>0</v>
          </cell>
          <cell r="G663">
            <v>55477.699199999995</v>
          </cell>
          <cell r="H663">
            <v>0</v>
          </cell>
          <cell r="I663">
            <v>55477.699199999995</v>
          </cell>
        </row>
        <row r="664">
          <cell r="A664" t="str">
            <v>SC040734</v>
          </cell>
          <cell r="B664" t="str">
            <v>Otros</v>
          </cell>
          <cell r="C664" t="str">
            <v>Sum./ Instalación de Puerta de hierro de 3/4, 1 hoja fija y 1 hoja corrediza; 2.20x2.80m</v>
          </cell>
          <cell r="D664">
            <v>1</v>
          </cell>
          <cell r="E664" t="str">
            <v>u</v>
          </cell>
          <cell r="F664">
            <v>55477.699199999995</v>
          </cell>
          <cell r="G664">
            <v>55477.699199999995</v>
          </cell>
          <cell r="H664">
            <v>0</v>
          </cell>
          <cell r="I664">
            <v>55477.699199999995</v>
          </cell>
        </row>
        <row r="665">
          <cell r="A665">
            <v>0</v>
          </cell>
          <cell r="B665">
            <v>0</v>
          </cell>
          <cell r="C665" t="str">
            <v>Total 01.09.18</v>
          </cell>
          <cell r="D665">
            <v>1</v>
          </cell>
          <cell r="E665">
            <v>0</v>
          </cell>
          <cell r="F665">
            <v>0</v>
          </cell>
          <cell r="G665">
            <v>55477.699199999995</v>
          </cell>
          <cell r="H665">
            <v>0</v>
          </cell>
          <cell r="I665">
            <v>55477.699199999995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01.09.19</v>
          </cell>
          <cell r="B667" t="str">
            <v>Partida</v>
          </cell>
          <cell r="C667" t="str">
            <v>Puerta de hierro de 3/4, 1 hoja fija y 2 corredizas con panel superior de 0.50m; 4.14x3.30m, P8</v>
          </cell>
          <cell r="D667">
            <v>1</v>
          </cell>
          <cell r="E667" t="str">
            <v>u</v>
          </cell>
          <cell r="F667">
            <v>0</v>
          </cell>
          <cell r="G667">
            <v>123041.61143999996</v>
          </cell>
          <cell r="H667">
            <v>0</v>
          </cell>
          <cell r="I667">
            <v>123041.61143999996</v>
          </cell>
        </row>
        <row r="668">
          <cell r="A668" t="str">
            <v>SC040735</v>
          </cell>
          <cell r="B668" t="str">
            <v>Otros</v>
          </cell>
          <cell r="C668" t="str">
            <v>Sum./ Instalación de Puerta de hierro de 3/4, 1 hoja fija y 2 corredizas con panel superior de 0.50m; 4.14x3.30m</v>
          </cell>
          <cell r="D668">
            <v>1</v>
          </cell>
          <cell r="E668" t="str">
            <v>u</v>
          </cell>
          <cell r="F668">
            <v>123041.61143999996</v>
          </cell>
          <cell r="G668">
            <v>123041.61143999996</v>
          </cell>
          <cell r="H668">
            <v>0</v>
          </cell>
          <cell r="I668">
            <v>123041.61143999996</v>
          </cell>
        </row>
        <row r="669">
          <cell r="A669">
            <v>0</v>
          </cell>
          <cell r="B669">
            <v>0</v>
          </cell>
          <cell r="C669" t="str">
            <v>Total 01.09.19</v>
          </cell>
          <cell r="D669">
            <v>1</v>
          </cell>
          <cell r="E669">
            <v>0</v>
          </cell>
          <cell r="F669">
            <v>0</v>
          </cell>
          <cell r="G669">
            <v>123041.61143999996</v>
          </cell>
          <cell r="H669">
            <v>0</v>
          </cell>
          <cell r="I669">
            <v>123041.61143999996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01.09.20</v>
          </cell>
          <cell r="B671" t="str">
            <v>Partida</v>
          </cell>
          <cell r="C671" t="str">
            <v>Puerta de Tola (1.00m x 2.10m) en ambas caras para celdas, P6</v>
          </cell>
          <cell r="D671">
            <v>1</v>
          </cell>
          <cell r="E671" t="str">
            <v>u</v>
          </cell>
          <cell r="F671">
            <v>0</v>
          </cell>
          <cell r="G671">
            <v>30504.600000000002</v>
          </cell>
          <cell r="H671">
            <v>0</v>
          </cell>
          <cell r="I671">
            <v>30504.600000000002</v>
          </cell>
        </row>
        <row r="672">
          <cell r="A672" t="str">
            <v>SC040736</v>
          </cell>
          <cell r="B672" t="str">
            <v>Otros</v>
          </cell>
          <cell r="C672" t="str">
            <v>Sum./ Instalación de Puerta de Tola (1.00m x 2.10m) en ambas caras</v>
          </cell>
          <cell r="D672">
            <v>1</v>
          </cell>
          <cell r="E672" t="str">
            <v>u</v>
          </cell>
          <cell r="F672">
            <v>30504.600000000002</v>
          </cell>
          <cell r="G672">
            <v>30504.600000000002</v>
          </cell>
          <cell r="H672">
            <v>0</v>
          </cell>
          <cell r="I672">
            <v>30504.600000000002</v>
          </cell>
        </row>
        <row r="673">
          <cell r="A673">
            <v>0</v>
          </cell>
          <cell r="B673">
            <v>0</v>
          </cell>
          <cell r="C673" t="str">
            <v>Total 01.09.20</v>
          </cell>
          <cell r="D673">
            <v>1</v>
          </cell>
          <cell r="E673">
            <v>0</v>
          </cell>
          <cell r="F673">
            <v>0</v>
          </cell>
          <cell r="G673">
            <v>30504.600000000002</v>
          </cell>
          <cell r="H673">
            <v>0</v>
          </cell>
          <cell r="I673">
            <v>30504.600000000002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01.09.21</v>
          </cell>
          <cell r="B675" t="str">
            <v>Partida</v>
          </cell>
          <cell r="C675" t="str">
            <v>Puerta Doble  2.00mt.x2.10mt., polimetal con Cerradura de Acero</v>
          </cell>
          <cell r="D675">
            <v>1</v>
          </cell>
          <cell r="E675" t="str">
            <v>m²</v>
          </cell>
          <cell r="F675">
            <v>0</v>
          </cell>
          <cell r="G675">
            <v>15295.508474576262</v>
          </cell>
          <cell r="H675">
            <v>2480.4915254237271</v>
          </cell>
          <cell r="I675">
            <v>17775.999999999989</v>
          </cell>
        </row>
        <row r="676">
          <cell r="A676" t="str">
            <v>P4005048</v>
          </cell>
          <cell r="B676" t="str">
            <v>Material</v>
          </cell>
          <cell r="C676" t="str">
            <v>Puerta Polimetal Lisa, 2H Batiente, 2.00 x 2.10 m</v>
          </cell>
          <cell r="D676">
            <v>1</v>
          </cell>
          <cell r="E676" t="str">
            <v>u</v>
          </cell>
          <cell r="F676">
            <v>13330.508474576262</v>
          </cell>
          <cell r="G676">
            <v>13330.508474576262</v>
          </cell>
          <cell r="H676">
            <v>2399.4915254237271</v>
          </cell>
          <cell r="I676">
            <v>15729.999999999989</v>
          </cell>
        </row>
        <row r="677">
          <cell r="A677" t="str">
            <v>P2201029</v>
          </cell>
          <cell r="B677" t="str">
            <v>Material</v>
          </cell>
          <cell r="C677" t="str">
            <v>Cerradura Schlage o similar c/ Regular</v>
          </cell>
          <cell r="D677">
            <v>1</v>
          </cell>
          <cell r="E677" t="str">
            <v>u</v>
          </cell>
          <cell r="F677">
            <v>450</v>
          </cell>
          <cell r="G677">
            <v>450</v>
          </cell>
          <cell r="H677">
            <v>81</v>
          </cell>
          <cell r="I677">
            <v>531</v>
          </cell>
        </row>
        <row r="678">
          <cell r="A678" t="str">
            <v>H0920567</v>
          </cell>
          <cell r="B678" t="str">
            <v>Mano de obra</v>
          </cell>
          <cell r="C678" t="str">
            <v>M.O. Instalación Puerta Polimetal, 2H</v>
          </cell>
          <cell r="D678">
            <v>1</v>
          </cell>
          <cell r="E678" t="str">
            <v>u</v>
          </cell>
          <cell r="F678">
            <v>1500</v>
          </cell>
          <cell r="G678">
            <v>1500</v>
          </cell>
          <cell r="H678">
            <v>0</v>
          </cell>
          <cell r="I678">
            <v>1500</v>
          </cell>
        </row>
        <row r="679">
          <cell r="A679" t="str">
            <v>H%FH</v>
          </cell>
          <cell r="B679" t="str">
            <v>Otros</v>
          </cell>
          <cell r="C679" t="str">
            <v>Factor Herramientas</v>
          </cell>
          <cell r="D679">
            <v>1</v>
          </cell>
          <cell r="E679" t="str">
            <v>%</v>
          </cell>
          <cell r="F679">
            <v>1500</v>
          </cell>
          <cell r="G679">
            <v>15</v>
          </cell>
          <cell r="H679">
            <v>0</v>
          </cell>
          <cell r="I679">
            <v>15</v>
          </cell>
        </row>
        <row r="680">
          <cell r="A680">
            <v>0</v>
          </cell>
          <cell r="B680">
            <v>0</v>
          </cell>
          <cell r="C680" t="str">
            <v>Total 01.09.21</v>
          </cell>
          <cell r="D680">
            <v>1</v>
          </cell>
          <cell r="E680">
            <v>0</v>
          </cell>
          <cell r="F680">
            <v>0</v>
          </cell>
          <cell r="G680">
            <v>15295.508474576262</v>
          </cell>
          <cell r="H680">
            <v>2480.4915254237271</v>
          </cell>
          <cell r="I680">
            <v>17775.999999999989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01.09.22</v>
          </cell>
          <cell r="B682" t="str">
            <v>Partida</v>
          </cell>
          <cell r="C682" t="str">
            <v>Puerta doble en hierro, salidas principales</v>
          </cell>
          <cell r="D682">
            <v>1</v>
          </cell>
          <cell r="E682" t="str">
            <v>m²</v>
          </cell>
          <cell r="F682">
            <v>0</v>
          </cell>
          <cell r="G682">
            <v>14526</v>
          </cell>
          <cell r="H682">
            <v>0</v>
          </cell>
          <cell r="I682">
            <v>14526</v>
          </cell>
        </row>
        <row r="683">
          <cell r="A683" t="str">
            <v>SC040742</v>
          </cell>
          <cell r="B683" t="str">
            <v>Otros</v>
          </cell>
          <cell r="C683" t="str">
            <v>Sum./ Instalación de Puerta doble en hierro, salidas principales</v>
          </cell>
          <cell r="D683">
            <v>1</v>
          </cell>
          <cell r="E683" t="str">
            <v>m²</v>
          </cell>
          <cell r="F683">
            <v>14526</v>
          </cell>
          <cell r="G683">
            <v>14526</v>
          </cell>
          <cell r="H683">
            <v>0</v>
          </cell>
          <cell r="I683">
            <v>14526</v>
          </cell>
        </row>
        <row r="684">
          <cell r="A684">
            <v>0</v>
          </cell>
          <cell r="B684">
            <v>0</v>
          </cell>
          <cell r="C684" t="str">
            <v>Total 01.09.22</v>
          </cell>
          <cell r="D684">
            <v>1</v>
          </cell>
          <cell r="E684">
            <v>0</v>
          </cell>
          <cell r="F684">
            <v>0</v>
          </cell>
          <cell r="G684">
            <v>14526</v>
          </cell>
          <cell r="H684">
            <v>0</v>
          </cell>
          <cell r="I684">
            <v>14526</v>
          </cell>
        </row>
        <row r="685">
          <cell r="A685">
            <v>0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01.09.23</v>
          </cell>
          <cell r="B686" t="str">
            <v>Partida</v>
          </cell>
          <cell r="C686" t="str">
            <v>Puerta doble en malla ciclónica de 2.0 x 2.44 mts</v>
          </cell>
          <cell r="D686">
            <v>1</v>
          </cell>
          <cell r="E686" t="str">
            <v>u</v>
          </cell>
          <cell r="F686">
            <v>0</v>
          </cell>
          <cell r="G686">
            <v>3810</v>
          </cell>
          <cell r="H686">
            <v>0</v>
          </cell>
          <cell r="I686">
            <v>3810</v>
          </cell>
        </row>
        <row r="687">
          <cell r="A687" t="str">
            <v>SC040743</v>
          </cell>
          <cell r="B687" t="str">
            <v>Otros</v>
          </cell>
          <cell r="C687" t="str">
            <v>Sum./ Instalación de Puerta doble en malla ciclónica de 2.0 x 2.44 mts</v>
          </cell>
          <cell r="D687">
            <v>1</v>
          </cell>
          <cell r="E687" t="str">
            <v>u</v>
          </cell>
          <cell r="F687">
            <v>3810</v>
          </cell>
          <cell r="G687">
            <v>3810</v>
          </cell>
          <cell r="H687">
            <v>0</v>
          </cell>
          <cell r="I687">
            <v>3810</v>
          </cell>
        </row>
        <row r="688">
          <cell r="A688">
            <v>0</v>
          </cell>
          <cell r="B688">
            <v>0</v>
          </cell>
          <cell r="C688" t="str">
            <v>Total 01.09.23</v>
          </cell>
          <cell r="D688">
            <v>1</v>
          </cell>
          <cell r="E688">
            <v>0</v>
          </cell>
          <cell r="F688">
            <v>0</v>
          </cell>
          <cell r="G688">
            <v>3810</v>
          </cell>
          <cell r="H688">
            <v>0</v>
          </cell>
          <cell r="I688">
            <v>3810</v>
          </cell>
        </row>
        <row r="689">
          <cell r="A689">
            <v>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01.09.24</v>
          </cell>
          <cell r="B690" t="str">
            <v>Partida</v>
          </cell>
          <cell r="C690" t="str">
            <v>Puerta en caseta baterías 1.00m x 2.10m</v>
          </cell>
          <cell r="D690">
            <v>1</v>
          </cell>
          <cell r="E690" t="str">
            <v>u</v>
          </cell>
          <cell r="F690">
            <v>0</v>
          </cell>
          <cell r="G690">
            <v>7468.8220338983056</v>
          </cell>
          <cell r="H690">
            <v>1171.6779661016949</v>
          </cell>
          <cell r="I690">
            <v>8640.5</v>
          </cell>
        </row>
        <row r="691">
          <cell r="A691" t="str">
            <v>P4005033</v>
          </cell>
          <cell r="B691" t="str">
            <v>Material</v>
          </cell>
          <cell r="C691" t="str">
            <v>Puerta Polimetal Lisa, 1H Batiente, 1.00 x 2.10 m</v>
          </cell>
          <cell r="D691">
            <v>1</v>
          </cell>
          <cell r="E691" t="str">
            <v>u</v>
          </cell>
          <cell r="F691">
            <v>6059.3220338983056</v>
          </cell>
          <cell r="G691">
            <v>6059.3220338983056</v>
          </cell>
          <cell r="H691">
            <v>1090.6779661016949</v>
          </cell>
          <cell r="I691">
            <v>7150</v>
          </cell>
        </row>
        <row r="692">
          <cell r="A692" t="str">
            <v>P2201029</v>
          </cell>
          <cell r="B692" t="str">
            <v>Material</v>
          </cell>
          <cell r="C692" t="str">
            <v>Cerradura Schlage o similar c/ Regular</v>
          </cell>
          <cell r="D692">
            <v>1</v>
          </cell>
          <cell r="E692" t="str">
            <v>u</v>
          </cell>
          <cell r="F692">
            <v>450</v>
          </cell>
          <cell r="G692">
            <v>450</v>
          </cell>
          <cell r="H692">
            <v>81</v>
          </cell>
          <cell r="I692">
            <v>531</v>
          </cell>
        </row>
        <row r="693">
          <cell r="A693" t="str">
            <v>H0920566</v>
          </cell>
          <cell r="B693" t="str">
            <v>Mano de obra</v>
          </cell>
          <cell r="C693" t="str">
            <v>M.O. Instalación Puerta Polimetal, 1H</v>
          </cell>
          <cell r="D693">
            <v>1</v>
          </cell>
          <cell r="E693" t="str">
            <v>u</v>
          </cell>
          <cell r="F693">
            <v>950</v>
          </cell>
          <cell r="G693">
            <v>950</v>
          </cell>
          <cell r="H693">
            <v>0</v>
          </cell>
          <cell r="I693">
            <v>950</v>
          </cell>
        </row>
        <row r="694">
          <cell r="A694" t="str">
            <v>H%FH</v>
          </cell>
          <cell r="B694" t="str">
            <v>Otros</v>
          </cell>
          <cell r="C694" t="str">
            <v>Factor Herramientas</v>
          </cell>
          <cell r="D694">
            <v>1</v>
          </cell>
          <cell r="E694" t="str">
            <v>%</v>
          </cell>
          <cell r="F694">
            <v>950</v>
          </cell>
          <cell r="G694">
            <v>9.5</v>
          </cell>
          <cell r="H694">
            <v>0</v>
          </cell>
          <cell r="I694">
            <v>9.5</v>
          </cell>
        </row>
        <row r="695">
          <cell r="A695">
            <v>0</v>
          </cell>
          <cell r="B695">
            <v>0</v>
          </cell>
          <cell r="C695" t="str">
            <v>Total 01.09.24</v>
          </cell>
          <cell r="D695">
            <v>1</v>
          </cell>
          <cell r="E695">
            <v>0</v>
          </cell>
          <cell r="F695">
            <v>0</v>
          </cell>
          <cell r="G695">
            <v>7468.8220338983056</v>
          </cell>
          <cell r="H695">
            <v>1171.6779661016949</v>
          </cell>
          <cell r="I695">
            <v>8640.5</v>
          </cell>
        </row>
        <row r="696">
          <cell r="A696">
            <v>0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01.09.25</v>
          </cell>
          <cell r="B697" t="str">
            <v>Partida</v>
          </cell>
          <cell r="C697" t="str">
            <v>Puerta enrrollable de Hierro; 1.80x2.80m, P3</v>
          </cell>
          <cell r="D697">
            <v>1</v>
          </cell>
          <cell r="E697" t="str">
            <v>u</v>
          </cell>
          <cell r="F697">
            <v>0</v>
          </cell>
          <cell r="G697">
            <v>23100.000000000004</v>
          </cell>
          <cell r="H697">
            <v>0</v>
          </cell>
          <cell r="I697">
            <v>23100.000000000004</v>
          </cell>
        </row>
        <row r="698">
          <cell r="A698" t="str">
            <v>SC040744</v>
          </cell>
          <cell r="B698" t="str">
            <v>Otros</v>
          </cell>
          <cell r="C698" t="str">
            <v>Sum./ Instalación de Puerta enrrollable de Hierro; 1.80x2.80m</v>
          </cell>
          <cell r="D698">
            <v>1</v>
          </cell>
          <cell r="E698" t="str">
            <v>u</v>
          </cell>
          <cell r="F698">
            <v>23100.000000000004</v>
          </cell>
          <cell r="G698">
            <v>23100.000000000004</v>
          </cell>
          <cell r="H698">
            <v>0</v>
          </cell>
          <cell r="I698">
            <v>23100.000000000004</v>
          </cell>
        </row>
        <row r="699">
          <cell r="A699">
            <v>0</v>
          </cell>
          <cell r="B699">
            <v>0</v>
          </cell>
          <cell r="C699" t="str">
            <v>Total 01.09.25</v>
          </cell>
          <cell r="D699">
            <v>1</v>
          </cell>
          <cell r="E699">
            <v>0</v>
          </cell>
          <cell r="F699">
            <v>0</v>
          </cell>
          <cell r="G699">
            <v>23100.000000000004</v>
          </cell>
          <cell r="H699">
            <v>0</v>
          </cell>
          <cell r="I699">
            <v>23100.000000000004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01.09.26</v>
          </cell>
          <cell r="B701" t="str">
            <v>Partida</v>
          </cell>
          <cell r="C701" t="str">
            <v>Puerta exterior en caja de escalera 1.00m x 2.10m</v>
          </cell>
          <cell r="D701">
            <v>1</v>
          </cell>
          <cell r="E701" t="str">
            <v>u</v>
          </cell>
          <cell r="F701">
            <v>0</v>
          </cell>
          <cell r="G701">
            <v>7468.8220338983056</v>
          </cell>
          <cell r="H701">
            <v>1171.6779661016949</v>
          </cell>
          <cell r="I701">
            <v>8640.5</v>
          </cell>
        </row>
        <row r="702">
          <cell r="A702" t="str">
            <v>P4005033</v>
          </cell>
          <cell r="B702" t="str">
            <v>Material</v>
          </cell>
          <cell r="C702" t="str">
            <v>Puerta Polimetal Lisa, 1H Batiente, 1.00 x 2.10 m</v>
          </cell>
          <cell r="D702">
            <v>1</v>
          </cell>
          <cell r="E702" t="str">
            <v>u</v>
          </cell>
          <cell r="F702">
            <v>6059.3220338983056</v>
          </cell>
          <cell r="G702">
            <v>6059.3220338983056</v>
          </cell>
          <cell r="H702">
            <v>1090.6779661016949</v>
          </cell>
          <cell r="I702">
            <v>7150</v>
          </cell>
        </row>
        <row r="703">
          <cell r="A703" t="str">
            <v>P2201029</v>
          </cell>
          <cell r="B703" t="str">
            <v>Material</v>
          </cell>
          <cell r="C703" t="str">
            <v>Cerradura Schlage o similar c/ Regular</v>
          </cell>
          <cell r="D703">
            <v>1</v>
          </cell>
          <cell r="E703" t="str">
            <v>u</v>
          </cell>
          <cell r="F703">
            <v>450</v>
          </cell>
          <cell r="G703">
            <v>450</v>
          </cell>
          <cell r="H703">
            <v>81</v>
          </cell>
          <cell r="I703">
            <v>531</v>
          </cell>
        </row>
        <row r="704">
          <cell r="A704" t="str">
            <v>H0920566</v>
          </cell>
          <cell r="B704" t="str">
            <v>Mano de obra</v>
          </cell>
          <cell r="C704" t="str">
            <v>M.O. Instalación Puerta Polimetal, 1H</v>
          </cell>
          <cell r="D704">
            <v>1</v>
          </cell>
          <cell r="E704" t="str">
            <v>u</v>
          </cell>
          <cell r="F704">
            <v>950</v>
          </cell>
          <cell r="G704">
            <v>950</v>
          </cell>
          <cell r="H704">
            <v>0</v>
          </cell>
          <cell r="I704">
            <v>950</v>
          </cell>
        </row>
        <row r="705">
          <cell r="A705" t="str">
            <v>H%FH</v>
          </cell>
          <cell r="B705" t="str">
            <v>Otros</v>
          </cell>
          <cell r="C705" t="str">
            <v>Factor Herramientas</v>
          </cell>
          <cell r="D705">
            <v>1</v>
          </cell>
          <cell r="E705" t="str">
            <v>%</v>
          </cell>
          <cell r="F705">
            <v>950</v>
          </cell>
          <cell r="G705">
            <v>9.5</v>
          </cell>
          <cell r="H705">
            <v>0</v>
          </cell>
          <cell r="I705">
            <v>9.5</v>
          </cell>
        </row>
        <row r="706">
          <cell r="A706">
            <v>0</v>
          </cell>
          <cell r="B706">
            <v>0</v>
          </cell>
          <cell r="C706" t="str">
            <v>Total 01.09.26</v>
          </cell>
          <cell r="D706">
            <v>1</v>
          </cell>
          <cell r="E706">
            <v>0</v>
          </cell>
          <cell r="F706">
            <v>0</v>
          </cell>
          <cell r="G706">
            <v>7468.8220338983056</v>
          </cell>
          <cell r="H706">
            <v>1171.6779661016949</v>
          </cell>
          <cell r="I706">
            <v>8640.5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01.09.27</v>
          </cell>
          <cell r="B708" t="str">
            <v>Partida</v>
          </cell>
          <cell r="C708" t="str">
            <v>Puerta MULTILOCK 1.00m X 2.10m con 3 cierres en área control</v>
          </cell>
          <cell r="D708">
            <v>1</v>
          </cell>
          <cell r="E708" t="str">
            <v>u</v>
          </cell>
          <cell r="F708">
            <v>0</v>
          </cell>
          <cell r="G708">
            <v>68516.953999999998</v>
          </cell>
          <cell r="H708">
            <v>0</v>
          </cell>
          <cell r="I708">
            <v>68516.953999999998</v>
          </cell>
        </row>
        <row r="709">
          <cell r="A709" t="str">
            <v>SC040745</v>
          </cell>
          <cell r="B709" t="str">
            <v>Otros</v>
          </cell>
          <cell r="C709" t="str">
            <v>Sum./ Instalación de Puerta MULTILOCK 1.00m X 2.10m con 3 cierres</v>
          </cell>
          <cell r="D709">
            <v>1</v>
          </cell>
          <cell r="E709" t="str">
            <v>u</v>
          </cell>
          <cell r="F709">
            <v>68516.953999999998</v>
          </cell>
          <cell r="G709">
            <v>68516.953999999998</v>
          </cell>
          <cell r="H709">
            <v>0</v>
          </cell>
          <cell r="I709">
            <v>68516.953999999998</v>
          </cell>
        </row>
        <row r="710">
          <cell r="A710">
            <v>0</v>
          </cell>
          <cell r="B710">
            <v>0</v>
          </cell>
          <cell r="C710" t="str">
            <v>Total 01.09.27</v>
          </cell>
          <cell r="D710">
            <v>1</v>
          </cell>
          <cell r="E710">
            <v>0</v>
          </cell>
          <cell r="F710">
            <v>0</v>
          </cell>
          <cell r="G710">
            <v>68516.953999999998</v>
          </cell>
          <cell r="H710">
            <v>0</v>
          </cell>
          <cell r="I710">
            <v>68516.953999999998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01.09.28</v>
          </cell>
          <cell r="B712" t="str">
            <v>Partida</v>
          </cell>
          <cell r="C712" t="str">
            <v>Puerta polimetal  0.75mt.x2.10mt., con Cerradura de Acero</v>
          </cell>
          <cell r="D712">
            <v>1</v>
          </cell>
          <cell r="E712" t="str">
            <v>m²</v>
          </cell>
          <cell r="F712">
            <v>0</v>
          </cell>
          <cell r="G712">
            <v>7887.5305084745805</v>
          </cell>
          <cell r="H712">
            <v>1247.0454915254245</v>
          </cell>
          <cell r="I712">
            <v>9134.5760000000046</v>
          </cell>
        </row>
        <row r="713">
          <cell r="A713" t="str">
            <v>P4005030</v>
          </cell>
          <cell r="B713" t="str">
            <v>Material</v>
          </cell>
          <cell r="C713" t="str">
            <v>Puerta Polimetal Lisa, 1H Batiente, 0.75 x 2.10 m</v>
          </cell>
          <cell r="D713">
            <v>1</v>
          </cell>
          <cell r="E713" t="str">
            <v>u</v>
          </cell>
          <cell r="F713">
            <v>6478.0305084745805</v>
          </cell>
          <cell r="G713">
            <v>6478.0305084745805</v>
          </cell>
          <cell r="H713">
            <v>1166.0454915254245</v>
          </cell>
          <cell r="I713">
            <v>7644.0760000000046</v>
          </cell>
        </row>
        <row r="714">
          <cell r="A714" t="str">
            <v>P2201029</v>
          </cell>
          <cell r="B714" t="str">
            <v>Material</v>
          </cell>
          <cell r="C714" t="str">
            <v>Cerradura Schlage o similar c/ Regular</v>
          </cell>
          <cell r="D714">
            <v>1</v>
          </cell>
          <cell r="E714" t="str">
            <v>u</v>
          </cell>
          <cell r="F714">
            <v>450</v>
          </cell>
          <cell r="G714">
            <v>450</v>
          </cell>
          <cell r="H714">
            <v>81</v>
          </cell>
          <cell r="I714">
            <v>531</v>
          </cell>
        </row>
        <row r="715">
          <cell r="A715" t="str">
            <v>H0920566</v>
          </cell>
          <cell r="B715" t="str">
            <v>Mano de obra</v>
          </cell>
          <cell r="C715" t="str">
            <v>M.O. Instalación Puerta Polimetal, 1H</v>
          </cell>
          <cell r="D715">
            <v>1</v>
          </cell>
          <cell r="E715" t="str">
            <v>u</v>
          </cell>
          <cell r="F715">
            <v>950</v>
          </cell>
          <cell r="G715">
            <v>950</v>
          </cell>
          <cell r="H715">
            <v>0</v>
          </cell>
          <cell r="I715">
            <v>950</v>
          </cell>
        </row>
        <row r="716">
          <cell r="A716" t="str">
            <v>H%FH</v>
          </cell>
          <cell r="B716" t="str">
            <v>Otros</v>
          </cell>
          <cell r="C716" t="str">
            <v>Factor Herramientas</v>
          </cell>
          <cell r="D716">
            <v>1</v>
          </cell>
          <cell r="E716" t="str">
            <v>%</v>
          </cell>
          <cell r="F716">
            <v>950</v>
          </cell>
          <cell r="G716">
            <v>9.5</v>
          </cell>
          <cell r="H716">
            <v>0</v>
          </cell>
          <cell r="I716">
            <v>9.5</v>
          </cell>
        </row>
        <row r="717">
          <cell r="A717">
            <v>0</v>
          </cell>
          <cell r="B717">
            <v>0</v>
          </cell>
          <cell r="C717" t="str">
            <v>Total 01.09.28</v>
          </cell>
          <cell r="D717">
            <v>1</v>
          </cell>
          <cell r="E717">
            <v>0</v>
          </cell>
          <cell r="F717">
            <v>0</v>
          </cell>
          <cell r="G717">
            <v>7887.5305084745805</v>
          </cell>
          <cell r="H717">
            <v>1247.0454915254245</v>
          </cell>
          <cell r="I717">
            <v>9134.5760000000046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01.09.29</v>
          </cell>
          <cell r="B719" t="str">
            <v>Partida</v>
          </cell>
          <cell r="C719" t="str">
            <v>Puerta polimetal (0.80x2.10)mts</v>
          </cell>
          <cell r="D719">
            <v>1</v>
          </cell>
          <cell r="E719" t="str">
            <v>u</v>
          </cell>
          <cell r="F719">
            <v>0</v>
          </cell>
          <cell r="G719">
            <v>7887.5305084745805</v>
          </cell>
          <cell r="H719">
            <v>1247.0454915254245</v>
          </cell>
          <cell r="I719">
            <v>9134.5760000000046</v>
          </cell>
        </row>
        <row r="720">
          <cell r="A720" t="str">
            <v>P4005031</v>
          </cell>
          <cell r="B720" t="str">
            <v>Material</v>
          </cell>
          <cell r="C720" t="str">
            <v>Puerta Polimetal Lisa, 1H Batiente, 0.80 x 2.10 m</v>
          </cell>
          <cell r="D720">
            <v>1</v>
          </cell>
          <cell r="E720" t="str">
            <v>u</v>
          </cell>
          <cell r="F720">
            <v>6478.0305084745805</v>
          </cell>
          <cell r="G720">
            <v>6478.0305084745805</v>
          </cell>
          <cell r="H720">
            <v>1166.0454915254245</v>
          </cell>
          <cell r="I720">
            <v>7644.0760000000046</v>
          </cell>
        </row>
        <row r="721">
          <cell r="A721" t="str">
            <v>P2201029</v>
          </cell>
          <cell r="B721" t="str">
            <v>Material</v>
          </cell>
          <cell r="C721" t="str">
            <v>Cerradura Schlage o similar c/ Regular</v>
          </cell>
          <cell r="D721">
            <v>1</v>
          </cell>
          <cell r="E721" t="str">
            <v>u</v>
          </cell>
          <cell r="F721">
            <v>450</v>
          </cell>
          <cell r="G721">
            <v>450</v>
          </cell>
          <cell r="H721">
            <v>81</v>
          </cell>
          <cell r="I721">
            <v>531</v>
          </cell>
        </row>
        <row r="722">
          <cell r="A722" t="str">
            <v>H0920566</v>
          </cell>
          <cell r="B722" t="str">
            <v>Mano de obra</v>
          </cell>
          <cell r="C722" t="str">
            <v>M.O. Instalación Puerta Polimetal, 1H</v>
          </cell>
          <cell r="D722">
            <v>1</v>
          </cell>
          <cell r="E722" t="str">
            <v>u</v>
          </cell>
          <cell r="F722">
            <v>950</v>
          </cell>
          <cell r="G722">
            <v>950</v>
          </cell>
          <cell r="H722">
            <v>0</v>
          </cell>
          <cell r="I722">
            <v>950</v>
          </cell>
        </row>
        <row r="723">
          <cell r="A723" t="str">
            <v>H%FH</v>
          </cell>
          <cell r="B723" t="str">
            <v>Otros</v>
          </cell>
          <cell r="C723" t="str">
            <v>Factor Herramientas</v>
          </cell>
          <cell r="D723">
            <v>1</v>
          </cell>
          <cell r="E723" t="str">
            <v>%</v>
          </cell>
          <cell r="F723">
            <v>950</v>
          </cell>
          <cell r="G723">
            <v>9.5</v>
          </cell>
          <cell r="H723">
            <v>0</v>
          </cell>
          <cell r="I723">
            <v>9.5</v>
          </cell>
        </row>
        <row r="724">
          <cell r="A724">
            <v>0</v>
          </cell>
          <cell r="B724">
            <v>0</v>
          </cell>
          <cell r="C724" t="str">
            <v>Total 01.09.29</v>
          </cell>
          <cell r="D724">
            <v>1</v>
          </cell>
          <cell r="E724">
            <v>0</v>
          </cell>
          <cell r="F724">
            <v>0</v>
          </cell>
          <cell r="G724">
            <v>7887.5305084745805</v>
          </cell>
          <cell r="H724">
            <v>1247.0454915254245</v>
          </cell>
          <cell r="I724">
            <v>9134.5760000000046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01.09.30</v>
          </cell>
          <cell r="B726" t="str">
            <v>Partida</v>
          </cell>
          <cell r="C726" t="str">
            <v>Puerta polimetal (0.90x2.10)mts</v>
          </cell>
          <cell r="D726">
            <v>1</v>
          </cell>
          <cell r="E726" t="str">
            <v>u</v>
          </cell>
          <cell r="F726">
            <v>0</v>
          </cell>
          <cell r="G726">
            <v>7887.5305084745805</v>
          </cell>
          <cell r="H726">
            <v>1247.0454915254245</v>
          </cell>
          <cell r="I726">
            <v>9134.5760000000046</v>
          </cell>
        </row>
        <row r="727">
          <cell r="A727" t="str">
            <v>P4005032</v>
          </cell>
          <cell r="B727" t="str">
            <v>Material</v>
          </cell>
          <cell r="C727" t="str">
            <v>Puerta Polimetal Lisa, 1H Batiente, 0.90 x 2.10 m</v>
          </cell>
          <cell r="D727">
            <v>1</v>
          </cell>
          <cell r="E727" t="str">
            <v>u</v>
          </cell>
          <cell r="F727">
            <v>6478.0305084745805</v>
          </cell>
          <cell r="G727">
            <v>6478.0305084745805</v>
          </cell>
          <cell r="H727">
            <v>1166.0454915254245</v>
          </cell>
          <cell r="I727">
            <v>7644.0760000000046</v>
          </cell>
        </row>
        <row r="728">
          <cell r="A728" t="str">
            <v>P2201029</v>
          </cell>
          <cell r="B728" t="str">
            <v>Material</v>
          </cell>
          <cell r="C728" t="str">
            <v>Cerradura Schlage o similar c/ Regular</v>
          </cell>
          <cell r="D728">
            <v>1</v>
          </cell>
          <cell r="E728" t="str">
            <v>u</v>
          </cell>
          <cell r="F728">
            <v>450</v>
          </cell>
          <cell r="G728">
            <v>450</v>
          </cell>
          <cell r="H728">
            <v>81</v>
          </cell>
          <cell r="I728">
            <v>531</v>
          </cell>
        </row>
        <row r="729">
          <cell r="A729" t="str">
            <v>H0920566</v>
          </cell>
          <cell r="B729" t="str">
            <v>Mano de obra</v>
          </cell>
          <cell r="C729" t="str">
            <v>M.O. Instalación Puerta Polimetal, 1H</v>
          </cell>
          <cell r="D729">
            <v>1</v>
          </cell>
          <cell r="E729" t="str">
            <v>u</v>
          </cell>
          <cell r="F729">
            <v>950</v>
          </cell>
          <cell r="G729">
            <v>950</v>
          </cell>
          <cell r="H729">
            <v>0</v>
          </cell>
          <cell r="I729">
            <v>950</v>
          </cell>
        </row>
        <row r="730">
          <cell r="A730" t="str">
            <v>H%FH</v>
          </cell>
          <cell r="B730" t="str">
            <v>Otros</v>
          </cell>
          <cell r="C730" t="str">
            <v>Factor Herramientas</v>
          </cell>
          <cell r="D730">
            <v>1</v>
          </cell>
          <cell r="E730" t="str">
            <v>%</v>
          </cell>
          <cell r="F730">
            <v>950</v>
          </cell>
          <cell r="G730">
            <v>9.5</v>
          </cell>
          <cell r="H730">
            <v>0</v>
          </cell>
          <cell r="I730">
            <v>9.5</v>
          </cell>
        </row>
        <row r="731">
          <cell r="A731">
            <v>0</v>
          </cell>
          <cell r="B731">
            <v>0</v>
          </cell>
          <cell r="C731" t="str">
            <v>Total 01.09.30</v>
          </cell>
          <cell r="D731">
            <v>1</v>
          </cell>
          <cell r="E731">
            <v>0</v>
          </cell>
          <cell r="F731">
            <v>0</v>
          </cell>
          <cell r="G731">
            <v>7887.5305084745805</v>
          </cell>
          <cell r="H731">
            <v>1247.0454915254245</v>
          </cell>
          <cell r="I731">
            <v>9134.5760000000046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01.09.31</v>
          </cell>
          <cell r="B733" t="str">
            <v>Partida</v>
          </cell>
          <cell r="C733" t="str">
            <v>Puerta polimetal 0.90mt.x2.10mt., con Cerradura de Acero</v>
          </cell>
          <cell r="D733">
            <v>1</v>
          </cell>
          <cell r="E733" t="str">
            <v>m²</v>
          </cell>
          <cell r="F733">
            <v>0</v>
          </cell>
          <cell r="G733">
            <v>4173.2923920339008</v>
          </cell>
          <cell r="H733">
            <v>659.81176956610204</v>
          </cell>
          <cell r="I733">
            <v>4833.104161600003</v>
          </cell>
        </row>
        <row r="734">
          <cell r="A734" t="str">
            <v>P4005032</v>
          </cell>
          <cell r="B734" t="str">
            <v>Material</v>
          </cell>
          <cell r="C734" t="str">
            <v>Puerta Polimetal Lisa, 1H Batiente, 0.90 x 2.10 m</v>
          </cell>
          <cell r="D734">
            <v>0.52910000000000001</v>
          </cell>
          <cell r="E734" t="str">
            <v>u</v>
          </cell>
          <cell r="F734">
            <v>6478.0305084745805</v>
          </cell>
          <cell r="G734">
            <v>3427.5259420339007</v>
          </cell>
          <cell r="H734">
            <v>616.9546695661021</v>
          </cell>
          <cell r="I734">
            <v>4044.4806116000027</v>
          </cell>
        </row>
        <row r="735">
          <cell r="A735" t="str">
            <v>P2201029</v>
          </cell>
          <cell r="B735" t="str">
            <v>Material</v>
          </cell>
          <cell r="C735" t="str">
            <v>Cerradura Schlage o similar c/ Regular</v>
          </cell>
          <cell r="D735">
            <v>0.52910000000000001</v>
          </cell>
          <cell r="E735" t="str">
            <v>u</v>
          </cell>
          <cell r="F735">
            <v>450</v>
          </cell>
          <cell r="G735">
            <v>238.095</v>
          </cell>
          <cell r="H735">
            <v>42.857099999999996</v>
          </cell>
          <cell r="I735">
            <v>280.95209999999997</v>
          </cell>
        </row>
        <row r="736">
          <cell r="A736" t="str">
            <v>H0920566</v>
          </cell>
          <cell r="B736" t="str">
            <v>Mano de obra</v>
          </cell>
          <cell r="C736" t="str">
            <v>M.O. Instalación Puerta Polimetal, 1H</v>
          </cell>
          <cell r="D736">
            <v>0.52910000000000001</v>
          </cell>
          <cell r="E736" t="str">
            <v>u</v>
          </cell>
          <cell r="F736">
            <v>950</v>
          </cell>
          <cell r="G736">
            <v>502.64500000000004</v>
          </cell>
          <cell r="H736">
            <v>0</v>
          </cell>
          <cell r="I736">
            <v>502.64500000000004</v>
          </cell>
        </row>
        <row r="737">
          <cell r="A737" t="str">
            <v>H%FH</v>
          </cell>
          <cell r="B737" t="str">
            <v>Otros</v>
          </cell>
          <cell r="C737" t="str">
            <v>Factor Herramientas</v>
          </cell>
          <cell r="D737">
            <v>1</v>
          </cell>
          <cell r="E737" t="str">
            <v>%</v>
          </cell>
          <cell r="F737">
            <v>502.64500000000004</v>
          </cell>
          <cell r="G737">
            <v>5.0264500000000005</v>
          </cell>
          <cell r="H737">
            <v>0</v>
          </cell>
          <cell r="I737">
            <v>5.0264500000000005</v>
          </cell>
        </row>
        <row r="738">
          <cell r="A738">
            <v>0</v>
          </cell>
          <cell r="B738">
            <v>0</v>
          </cell>
          <cell r="C738" t="str">
            <v>Total 01.09.31</v>
          </cell>
          <cell r="D738">
            <v>1</v>
          </cell>
          <cell r="E738">
            <v>0</v>
          </cell>
          <cell r="F738">
            <v>0</v>
          </cell>
          <cell r="G738">
            <v>4173.2923920339008</v>
          </cell>
          <cell r="H738">
            <v>659.81176956610204</v>
          </cell>
          <cell r="I738">
            <v>4833.104161600003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01.09.32</v>
          </cell>
          <cell r="B740" t="str">
            <v>Partida</v>
          </cell>
          <cell r="C740" t="str">
            <v>Puerta polimetal gris sin diseño, con llavín de seguridad en acero inoxidable 0.80m X 2.10m, P7</v>
          </cell>
          <cell r="D740">
            <v>1</v>
          </cell>
          <cell r="E740" t="str">
            <v>u</v>
          </cell>
          <cell r="F740">
            <v>0</v>
          </cell>
          <cell r="G740">
            <v>8687.5305084745814</v>
          </cell>
          <cell r="H740">
            <v>1391.0454915254245</v>
          </cell>
          <cell r="I740">
            <v>10078.576000000005</v>
          </cell>
        </row>
        <row r="741">
          <cell r="A741" t="str">
            <v>P4005031</v>
          </cell>
          <cell r="B741" t="str">
            <v>Material</v>
          </cell>
          <cell r="C741" t="str">
            <v>Puerta Polimetal Lisa, 1H Batiente, 0.80 x 2.10 m</v>
          </cell>
          <cell r="D741">
            <v>1</v>
          </cell>
          <cell r="E741" t="str">
            <v>u</v>
          </cell>
          <cell r="F741">
            <v>6478.0305084745805</v>
          </cell>
          <cell r="G741">
            <v>6478.0305084745805</v>
          </cell>
          <cell r="H741">
            <v>1166.0454915254245</v>
          </cell>
          <cell r="I741">
            <v>7644.0760000000046</v>
          </cell>
        </row>
        <row r="742">
          <cell r="A742" t="str">
            <v>P2201030</v>
          </cell>
          <cell r="B742" t="str">
            <v>Material</v>
          </cell>
          <cell r="C742" t="str">
            <v>Cerradura de Seguridad Schlage o similar</v>
          </cell>
          <cell r="D742">
            <v>1</v>
          </cell>
          <cell r="E742" t="str">
            <v>u</v>
          </cell>
          <cell r="F742">
            <v>1250</v>
          </cell>
          <cell r="G742">
            <v>1250</v>
          </cell>
          <cell r="H742">
            <v>225</v>
          </cell>
          <cell r="I742">
            <v>1475</v>
          </cell>
        </row>
        <row r="743">
          <cell r="A743" t="str">
            <v>H0920566</v>
          </cell>
          <cell r="B743" t="str">
            <v>Mano de obra</v>
          </cell>
          <cell r="C743" t="str">
            <v>M.O. Instalación Puerta Polimetal, 1H</v>
          </cell>
          <cell r="D743">
            <v>1</v>
          </cell>
          <cell r="E743" t="str">
            <v>u</v>
          </cell>
          <cell r="F743">
            <v>950</v>
          </cell>
          <cell r="G743">
            <v>950</v>
          </cell>
          <cell r="H743">
            <v>0</v>
          </cell>
          <cell r="I743">
            <v>950</v>
          </cell>
        </row>
        <row r="744">
          <cell r="A744" t="str">
            <v>H%FH</v>
          </cell>
          <cell r="B744" t="str">
            <v>Otros</v>
          </cell>
          <cell r="C744" t="str">
            <v>Factor Herramientas</v>
          </cell>
          <cell r="D744">
            <v>1</v>
          </cell>
          <cell r="E744" t="str">
            <v>%</v>
          </cell>
          <cell r="F744">
            <v>950</v>
          </cell>
          <cell r="G744">
            <v>9.5</v>
          </cell>
          <cell r="H744">
            <v>0</v>
          </cell>
          <cell r="I744">
            <v>9.5</v>
          </cell>
        </row>
        <row r="745">
          <cell r="A745">
            <v>0</v>
          </cell>
          <cell r="B745">
            <v>0</v>
          </cell>
          <cell r="C745" t="str">
            <v>Total 01.09.32</v>
          </cell>
          <cell r="D745">
            <v>1</v>
          </cell>
          <cell r="E745">
            <v>0</v>
          </cell>
          <cell r="F745">
            <v>0</v>
          </cell>
          <cell r="G745">
            <v>8687.5305084745814</v>
          </cell>
          <cell r="H745">
            <v>1391.0454915254245</v>
          </cell>
          <cell r="I745">
            <v>10078.576000000005</v>
          </cell>
        </row>
        <row r="746">
          <cell r="A746">
            <v>0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01.09.33</v>
          </cell>
          <cell r="B747" t="str">
            <v>Partida</v>
          </cell>
          <cell r="C747" t="str">
            <v>Puerta polimetal, H=2.10 mts, ver tabla de puertas</v>
          </cell>
          <cell r="D747">
            <v>1</v>
          </cell>
          <cell r="E747" t="str">
            <v>u</v>
          </cell>
          <cell r="F747">
            <v>0</v>
          </cell>
          <cell r="G747">
            <v>7878.0305084745805</v>
          </cell>
          <cell r="H747">
            <v>1247.0454915254245</v>
          </cell>
          <cell r="I747">
            <v>9170.0760000000046</v>
          </cell>
        </row>
        <row r="748">
          <cell r="A748" t="str">
            <v>P4005032</v>
          </cell>
          <cell r="B748" t="str">
            <v>Material</v>
          </cell>
          <cell r="C748" t="str">
            <v>Puerta Polimetal Lisa, 1H Batiente, 0.90 x 2.10 m</v>
          </cell>
          <cell r="D748">
            <v>1</v>
          </cell>
          <cell r="E748" t="str">
            <v>u</v>
          </cell>
          <cell r="F748">
            <v>6478.0305084745805</v>
          </cell>
          <cell r="G748">
            <v>6478.0305084745805</v>
          </cell>
          <cell r="H748">
            <v>1166.0454915254245</v>
          </cell>
          <cell r="I748">
            <v>7644.0760000000046</v>
          </cell>
        </row>
        <row r="749">
          <cell r="A749" t="str">
            <v>P2201029</v>
          </cell>
          <cell r="B749" t="str">
            <v>Material</v>
          </cell>
          <cell r="C749" t="str">
            <v>Cerradura Schlage o similar c/ Regular</v>
          </cell>
          <cell r="D749">
            <v>1</v>
          </cell>
          <cell r="E749" t="str">
            <v>u</v>
          </cell>
          <cell r="F749">
            <v>450</v>
          </cell>
          <cell r="G749">
            <v>450</v>
          </cell>
          <cell r="H749">
            <v>81</v>
          </cell>
          <cell r="I749">
            <v>531</v>
          </cell>
        </row>
        <row r="750">
          <cell r="A750" t="str">
            <v>H0920566</v>
          </cell>
          <cell r="B750" t="str">
            <v>Mano de obra</v>
          </cell>
          <cell r="C750" t="str">
            <v>M.O. Instalación Puerta Polimetal, 1H</v>
          </cell>
          <cell r="D750">
            <v>1</v>
          </cell>
          <cell r="E750" t="str">
            <v>u</v>
          </cell>
          <cell r="F750">
            <v>950</v>
          </cell>
          <cell r="G750">
            <v>950</v>
          </cell>
          <cell r="H750">
            <v>0</v>
          </cell>
          <cell r="I750">
            <v>950</v>
          </cell>
        </row>
        <row r="751">
          <cell r="A751" t="str">
            <v>H%FH</v>
          </cell>
          <cell r="B751" t="str">
            <v>Otros</v>
          </cell>
          <cell r="C751" t="str">
            <v>Factor Herramientas</v>
          </cell>
          <cell r="D751">
            <v>15</v>
          </cell>
          <cell r="E751" t="str">
            <v>%</v>
          </cell>
          <cell r="F751">
            <v>3</v>
          </cell>
          <cell r="G751">
            <v>0</v>
          </cell>
          <cell r="H751">
            <v>0</v>
          </cell>
          <cell r="I751">
            <v>45</v>
          </cell>
        </row>
        <row r="752">
          <cell r="A752">
            <v>0</v>
          </cell>
          <cell r="B752">
            <v>0</v>
          </cell>
          <cell r="C752" t="str">
            <v>Total 01.09.33</v>
          </cell>
          <cell r="D752">
            <v>1</v>
          </cell>
          <cell r="E752">
            <v>0</v>
          </cell>
          <cell r="F752">
            <v>0</v>
          </cell>
          <cell r="G752">
            <v>7878.0305084745805</v>
          </cell>
          <cell r="H752">
            <v>1247.0454915254245</v>
          </cell>
          <cell r="I752">
            <v>9170.0760000000046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01.09.35</v>
          </cell>
          <cell r="B754" t="str">
            <v>Partida</v>
          </cell>
          <cell r="C754" t="str">
            <v>Puertas 1.00mt X 2.10mt, Polimetal Lisa</v>
          </cell>
          <cell r="D754">
            <v>1</v>
          </cell>
          <cell r="E754" t="str">
            <v>u</v>
          </cell>
          <cell r="F754">
            <v>0</v>
          </cell>
          <cell r="G754">
            <v>7468.8220338983056</v>
          </cell>
          <cell r="H754">
            <v>1171.6779661016949</v>
          </cell>
          <cell r="I754">
            <v>8640.5</v>
          </cell>
        </row>
        <row r="755">
          <cell r="A755" t="str">
            <v>P4005033</v>
          </cell>
          <cell r="B755" t="str">
            <v>Material</v>
          </cell>
          <cell r="C755" t="str">
            <v>Puerta Polimetal Lisa, 1H Batiente, 1.00 x 2.10 m</v>
          </cell>
          <cell r="D755">
            <v>1</v>
          </cell>
          <cell r="E755" t="str">
            <v>u</v>
          </cell>
          <cell r="F755">
            <v>6059.3220338983056</v>
          </cell>
          <cell r="G755">
            <v>6059.3220338983056</v>
          </cell>
          <cell r="H755">
            <v>1090.6779661016949</v>
          </cell>
          <cell r="I755">
            <v>7150</v>
          </cell>
        </row>
        <row r="756">
          <cell r="A756" t="str">
            <v>P2201029</v>
          </cell>
          <cell r="B756" t="str">
            <v>Material</v>
          </cell>
          <cell r="C756" t="str">
            <v>Cerradura Schlage o similar c/ Regular</v>
          </cell>
          <cell r="D756">
            <v>1</v>
          </cell>
          <cell r="E756" t="str">
            <v>u</v>
          </cell>
          <cell r="F756">
            <v>450</v>
          </cell>
          <cell r="G756">
            <v>450</v>
          </cell>
          <cell r="H756">
            <v>81</v>
          </cell>
          <cell r="I756">
            <v>531</v>
          </cell>
        </row>
        <row r="757">
          <cell r="A757" t="str">
            <v>H0920566</v>
          </cell>
          <cell r="B757" t="str">
            <v>Mano de obra</v>
          </cell>
          <cell r="C757" t="str">
            <v>M.O. Instalación Puerta Polimetal, 1H</v>
          </cell>
          <cell r="D757">
            <v>1</v>
          </cell>
          <cell r="E757" t="str">
            <v>u</v>
          </cell>
          <cell r="F757">
            <v>950</v>
          </cell>
          <cell r="G757">
            <v>950</v>
          </cell>
          <cell r="H757">
            <v>0</v>
          </cell>
          <cell r="I757">
            <v>950</v>
          </cell>
        </row>
        <row r="758">
          <cell r="A758" t="str">
            <v>H%FH</v>
          </cell>
          <cell r="B758" t="str">
            <v>Otros</v>
          </cell>
          <cell r="C758" t="str">
            <v>Factor Herramientas</v>
          </cell>
          <cell r="D758">
            <v>1</v>
          </cell>
          <cell r="E758" t="str">
            <v>%</v>
          </cell>
          <cell r="F758">
            <v>950</v>
          </cell>
          <cell r="G758">
            <v>9.5</v>
          </cell>
          <cell r="H758">
            <v>0</v>
          </cell>
          <cell r="I758">
            <v>9.5</v>
          </cell>
        </row>
        <row r="759">
          <cell r="A759">
            <v>0</v>
          </cell>
          <cell r="B759">
            <v>0</v>
          </cell>
          <cell r="C759" t="str">
            <v>Total 01.09.35</v>
          </cell>
          <cell r="D759">
            <v>1</v>
          </cell>
          <cell r="E759">
            <v>0</v>
          </cell>
          <cell r="F759">
            <v>0</v>
          </cell>
          <cell r="G759">
            <v>7468.8220338983056</v>
          </cell>
          <cell r="H759">
            <v>1171.6779661016949</v>
          </cell>
          <cell r="I759">
            <v>8640.5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01.09.36</v>
          </cell>
          <cell r="B761" t="str">
            <v>Partida</v>
          </cell>
          <cell r="C761" t="str">
            <v>Puertas 1.00mt X 2.40mt en Hierro forrado de Tola, Dos Hojas de Puerta Batiente</v>
          </cell>
          <cell r="D761">
            <v>1</v>
          </cell>
          <cell r="E761" t="str">
            <v>m²</v>
          </cell>
          <cell r="F761">
            <v>0</v>
          </cell>
          <cell r="G761">
            <v>32538.239999999998</v>
          </cell>
          <cell r="H761">
            <v>0</v>
          </cell>
          <cell r="I761">
            <v>32538.239999999998</v>
          </cell>
        </row>
        <row r="762">
          <cell r="A762" t="str">
            <v>SC040746</v>
          </cell>
          <cell r="B762" t="str">
            <v>Otros</v>
          </cell>
          <cell r="C762" t="str">
            <v>Sum./ Instalación Puertas 1.00mt X 2.40mt en Hierro forrado de Tola, Dos Hojas de Puerta Batiente</v>
          </cell>
          <cell r="D762">
            <v>1</v>
          </cell>
          <cell r="E762" t="str">
            <v>u</v>
          </cell>
          <cell r="F762">
            <v>32538.239999999998</v>
          </cell>
          <cell r="G762">
            <v>32538.239999999998</v>
          </cell>
          <cell r="H762">
            <v>0</v>
          </cell>
          <cell r="I762">
            <v>32538.239999999998</v>
          </cell>
        </row>
        <row r="763">
          <cell r="A763">
            <v>0</v>
          </cell>
          <cell r="B763">
            <v>0</v>
          </cell>
          <cell r="C763" t="str">
            <v>Total 01.09.36</v>
          </cell>
          <cell r="D763">
            <v>1</v>
          </cell>
          <cell r="E763">
            <v>0</v>
          </cell>
          <cell r="F763">
            <v>0</v>
          </cell>
          <cell r="G763">
            <v>32538.239999999998</v>
          </cell>
          <cell r="H763">
            <v>0</v>
          </cell>
          <cell r="I763">
            <v>32538.239999999998</v>
          </cell>
        </row>
        <row r="764">
          <cell r="A764">
            <v>0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01.09.37</v>
          </cell>
          <cell r="B765" t="str">
            <v>Partida</v>
          </cell>
          <cell r="C765" t="str">
            <v>Puertas 1.20mt X 2.40mt en Hierro de 3/4'',  Puerta Batiente</v>
          </cell>
          <cell r="D765">
            <v>1</v>
          </cell>
          <cell r="E765" t="str">
            <v>m²</v>
          </cell>
          <cell r="F765">
            <v>0</v>
          </cell>
          <cell r="G765">
            <v>25937.625599999996</v>
          </cell>
          <cell r="H765">
            <v>0</v>
          </cell>
          <cell r="I765">
            <v>25937.625599999996</v>
          </cell>
        </row>
        <row r="766">
          <cell r="A766" t="str">
            <v>SC040747</v>
          </cell>
          <cell r="B766" t="str">
            <v>Otros</v>
          </cell>
          <cell r="C766" t="str">
            <v>Sum./ Instalación Puertas 1.20mt X 2.40mt en Hierro de 3/4'',  Puerta Batiente</v>
          </cell>
          <cell r="D766">
            <v>1</v>
          </cell>
          <cell r="E766" t="str">
            <v>m²</v>
          </cell>
          <cell r="F766">
            <v>25937.625599999996</v>
          </cell>
          <cell r="G766">
            <v>25937.625599999996</v>
          </cell>
          <cell r="H766">
            <v>0</v>
          </cell>
          <cell r="I766">
            <v>25937.625599999996</v>
          </cell>
        </row>
        <row r="767">
          <cell r="A767">
            <v>0</v>
          </cell>
          <cell r="B767">
            <v>0</v>
          </cell>
          <cell r="C767" t="str">
            <v>Total 01.09.37</v>
          </cell>
          <cell r="D767">
            <v>1</v>
          </cell>
          <cell r="E767">
            <v>0</v>
          </cell>
          <cell r="F767">
            <v>0</v>
          </cell>
          <cell r="G767">
            <v>25937.625599999996</v>
          </cell>
          <cell r="H767">
            <v>0</v>
          </cell>
          <cell r="I767">
            <v>25937.625599999996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01.09.38</v>
          </cell>
          <cell r="B769" t="str">
            <v>Partida</v>
          </cell>
          <cell r="C769" t="str">
            <v>Puertas 1.70mt X 2.40mt  en Hierro forrado de Tola, Dos Hojas de Puerta Batiente</v>
          </cell>
          <cell r="D769">
            <v>1</v>
          </cell>
          <cell r="E769" t="str">
            <v>m²</v>
          </cell>
          <cell r="F769">
            <v>0</v>
          </cell>
          <cell r="G769">
            <v>55315.007999999994</v>
          </cell>
          <cell r="H769">
            <v>0</v>
          </cell>
          <cell r="I769">
            <v>55315.007999999994</v>
          </cell>
        </row>
        <row r="770">
          <cell r="A770" t="str">
            <v>SC040748</v>
          </cell>
          <cell r="B770" t="str">
            <v>Otros</v>
          </cell>
          <cell r="C770" t="str">
            <v>Sum./ Instalación Puertas 1.70mt X 2.40mt  en Hierro forrado de Tola, Dos Hojas de Puerta Batiente</v>
          </cell>
          <cell r="D770">
            <v>1</v>
          </cell>
          <cell r="E770" t="str">
            <v>m²</v>
          </cell>
          <cell r="F770">
            <v>55315.007999999994</v>
          </cell>
          <cell r="G770">
            <v>55315.007999999994</v>
          </cell>
          <cell r="H770">
            <v>0</v>
          </cell>
          <cell r="I770">
            <v>55315.007999999994</v>
          </cell>
        </row>
        <row r="771">
          <cell r="A771">
            <v>0</v>
          </cell>
          <cell r="B771">
            <v>0</v>
          </cell>
          <cell r="C771" t="str">
            <v>Total 01.09.38</v>
          </cell>
          <cell r="D771">
            <v>1</v>
          </cell>
          <cell r="E771">
            <v>0</v>
          </cell>
          <cell r="F771">
            <v>0</v>
          </cell>
          <cell r="G771">
            <v>55315.007999999994</v>
          </cell>
          <cell r="H771">
            <v>0</v>
          </cell>
          <cell r="I771">
            <v>55315.007999999994</v>
          </cell>
        </row>
        <row r="772">
          <cell r="A772">
            <v>0</v>
          </cell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01.09.39</v>
          </cell>
          <cell r="B773" t="str">
            <v>Partida</v>
          </cell>
          <cell r="C773" t="str">
            <v>Puertas 1.90mt X 2.40mt en Hierro de 3/4'', Una Hoja de Puerta Corrediza</v>
          </cell>
          <cell r="D773">
            <v>1</v>
          </cell>
          <cell r="E773" t="str">
            <v>m²</v>
          </cell>
          <cell r="F773">
            <v>0</v>
          </cell>
          <cell r="G773">
            <v>41067.907199999994</v>
          </cell>
          <cell r="H773">
            <v>0</v>
          </cell>
          <cell r="I773">
            <v>41067.907199999994</v>
          </cell>
        </row>
        <row r="774">
          <cell r="A774" t="str">
            <v>SC040749</v>
          </cell>
          <cell r="B774" t="str">
            <v>Otros</v>
          </cell>
          <cell r="C774" t="str">
            <v>Sum./ Instalación Puertas 1.90mt X 2.40mt en Hierro de 3/4'', Una Hoja de Puerta Corrediza</v>
          </cell>
          <cell r="D774">
            <v>1</v>
          </cell>
          <cell r="E774" t="str">
            <v>m²</v>
          </cell>
          <cell r="F774">
            <v>41067.907199999994</v>
          </cell>
          <cell r="G774">
            <v>41067.907199999994</v>
          </cell>
          <cell r="H774">
            <v>0</v>
          </cell>
          <cell r="I774">
            <v>41067.907199999994</v>
          </cell>
        </row>
        <row r="775">
          <cell r="A775">
            <v>0</v>
          </cell>
          <cell r="B775">
            <v>0</v>
          </cell>
          <cell r="C775" t="str">
            <v>Total 01.09.39</v>
          </cell>
          <cell r="D775">
            <v>1</v>
          </cell>
          <cell r="E775">
            <v>0</v>
          </cell>
          <cell r="F775">
            <v>0</v>
          </cell>
          <cell r="G775">
            <v>41067.907199999994</v>
          </cell>
          <cell r="H775">
            <v>0</v>
          </cell>
          <cell r="I775">
            <v>41067.907199999994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01.09.40</v>
          </cell>
          <cell r="B777" t="str">
            <v>Partida</v>
          </cell>
          <cell r="C777" t="str">
            <v>Puertas Batiente de Hierro Forrado de Tola, P4 y P5</v>
          </cell>
          <cell r="D777">
            <v>1</v>
          </cell>
          <cell r="E777" t="str">
            <v>m²</v>
          </cell>
          <cell r="F777">
            <v>0</v>
          </cell>
          <cell r="G777">
            <v>9006.119999999999</v>
          </cell>
          <cell r="H777">
            <v>0</v>
          </cell>
          <cell r="I777">
            <v>9006.119999999999</v>
          </cell>
        </row>
        <row r="778">
          <cell r="A778" t="str">
            <v>SC040750</v>
          </cell>
          <cell r="B778" t="str">
            <v>Otros</v>
          </cell>
          <cell r="C778" t="str">
            <v>Sum./ Instalación Puertas Batiente de Hierro Forrado de Tola</v>
          </cell>
          <cell r="D778">
            <v>1</v>
          </cell>
          <cell r="E778" t="str">
            <v>m²</v>
          </cell>
          <cell r="F778">
            <v>9006.119999999999</v>
          </cell>
          <cell r="G778">
            <v>9006.119999999999</v>
          </cell>
          <cell r="H778">
            <v>0</v>
          </cell>
          <cell r="I778">
            <v>9006.119999999999</v>
          </cell>
        </row>
        <row r="779">
          <cell r="A779">
            <v>0</v>
          </cell>
          <cell r="B779">
            <v>0</v>
          </cell>
          <cell r="C779" t="str">
            <v>Total 01.09.40</v>
          </cell>
          <cell r="D779">
            <v>1</v>
          </cell>
          <cell r="E779">
            <v>0</v>
          </cell>
          <cell r="F779">
            <v>0</v>
          </cell>
          <cell r="G779">
            <v>9006.119999999999</v>
          </cell>
          <cell r="H779">
            <v>0</v>
          </cell>
          <cell r="I779">
            <v>9006.119999999999</v>
          </cell>
        </row>
        <row r="780">
          <cell r="A780">
            <v>0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01.09.41</v>
          </cell>
          <cell r="B781" t="str">
            <v>Partida</v>
          </cell>
          <cell r="C781" t="str">
            <v>Puertas batiente en hierro Ø ¾ " en salidas al patio, P7</v>
          </cell>
          <cell r="D781">
            <v>1</v>
          </cell>
          <cell r="E781" t="str">
            <v>m²</v>
          </cell>
          <cell r="F781">
            <v>0</v>
          </cell>
          <cell r="G781">
            <v>9006.119999999999</v>
          </cell>
          <cell r="H781">
            <v>0</v>
          </cell>
          <cell r="I781">
            <v>9006.119999999999</v>
          </cell>
        </row>
        <row r="782">
          <cell r="A782" t="str">
            <v>SC040751</v>
          </cell>
          <cell r="B782" t="str">
            <v>Otros</v>
          </cell>
          <cell r="C782" t="str">
            <v>Sum./ Instalación Puertas batiente en hierro Ø ¾ " en salidas al patio</v>
          </cell>
          <cell r="D782">
            <v>1</v>
          </cell>
          <cell r="E782" t="str">
            <v>m²</v>
          </cell>
          <cell r="F782">
            <v>9006.119999999999</v>
          </cell>
          <cell r="G782">
            <v>9006.119999999999</v>
          </cell>
          <cell r="H782">
            <v>0</v>
          </cell>
          <cell r="I782">
            <v>9006.119999999999</v>
          </cell>
        </row>
        <row r="783">
          <cell r="A783">
            <v>0</v>
          </cell>
          <cell r="B783">
            <v>0</v>
          </cell>
          <cell r="C783" t="str">
            <v>Total 01.09.41</v>
          </cell>
          <cell r="D783">
            <v>1</v>
          </cell>
          <cell r="E783">
            <v>0</v>
          </cell>
          <cell r="F783">
            <v>0</v>
          </cell>
          <cell r="G783">
            <v>9006.119999999999</v>
          </cell>
          <cell r="H783">
            <v>0</v>
          </cell>
          <cell r="I783">
            <v>9006.119999999999</v>
          </cell>
        </row>
        <row r="784">
          <cell r="A784">
            <v>0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A785" t="str">
            <v>01.09.42</v>
          </cell>
          <cell r="B785" t="str">
            <v>Partida</v>
          </cell>
          <cell r="C785" t="str">
            <v>Puertas en tola galvanizada, 2.00mt x 2.10mt</v>
          </cell>
          <cell r="D785">
            <v>1</v>
          </cell>
          <cell r="E785" t="str">
            <v>p²</v>
          </cell>
          <cell r="F785">
            <v>0</v>
          </cell>
          <cell r="G785">
            <v>1260</v>
          </cell>
          <cell r="H785">
            <v>0</v>
          </cell>
          <cell r="I785">
            <v>1260</v>
          </cell>
        </row>
        <row r="786">
          <cell r="A786" t="str">
            <v>SC040752</v>
          </cell>
          <cell r="B786" t="str">
            <v>Otros</v>
          </cell>
          <cell r="C786" t="str">
            <v>Sum./ Instalación Puertas en tola galvanizada, 2.00mt x 2.10mt</v>
          </cell>
          <cell r="D786">
            <v>1</v>
          </cell>
          <cell r="E786" t="str">
            <v>p²</v>
          </cell>
          <cell r="F786">
            <v>1260</v>
          </cell>
          <cell r="G786">
            <v>1260</v>
          </cell>
          <cell r="H786">
            <v>0</v>
          </cell>
          <cell r="I786">
            <v>1260</v>
          </cell>
        </row>
        <row r="787">
          <cell r="A787">
            <v>0</v>
          </cell>
          <cell r="B787">
            <v>0</v>
          </cell>
          <cell r="C787" t="str">
            <v>Total 01.09.42</v>
          </cell>
          <cell r="D787">
            <v>1</v>
          </cell>
          <cell r="E787">
            <v>0</v>
          </cell>
          <cell r="F787">
            <v>0</v>
          </cell>
          <cell r="G787">
            <v>1260</v>
          </cell>
          <cell r="H787">
            <v>0</v>
          </cell>
          <cell r="I787">
            <v>1260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01.09.43</v>
          </cell>
          <cell r="B789" t="str">
            <v>Partida</v>
          </cell>
          <cell r="C789" t="str">
            <v>Puerta doble. marco aluminio plata P-40. Cristal templado 1/4". (1.00x2.10)mts cada hoja. Con Transon en paño fijo cristal templado 1/4" (2.00x0.40)</v>
          </cell>
          <cell r="D789">
            <v>1</v>
          </cell>
          <cell r="E789" t="str">
            <v>u</v>
          </cell>
          <cell r="F789">
            <v>0</v>
          </cell>
          <cell r="G789">
            <v>52800.000000000007</v>
          </cell>
          <cell r="H789">
            <v>0</v>
          </cell>
          <cell r="I789">
            <v>52800.000000000007</v>
          </cell>
        </row>
        <row r="790">
          <cell r="A790" t="str">
            <v>SC040831</v>
          </cell>
          <cell r="B790" t="str">
            <v>Otros</v>
          </cell>
          <cell r="C790" t="str">
            <v>Sum./ Instalación Puerta doble. marco aluminio plata P-40. Cristal templado 1/4". (1.00x2.10)mts cada hoja. Con Transon en paño fijo cristal templado 1/4" (2.00x0.40)</v>
          </cell>
          <cell r="D790">
            <v>1</v>
          </cell>
          <cell r="E790" t="str">
            <v>u</v>
          </cell>
          <cell r="F790">
            <v>52800.000000000007</v>
          </cell>
          <cell r="G790">
            <v>52800.000000000007</v>
          </cell>
          <cell r="H790">
            <v>0</v>
          </cell>
          <cell r="I790">
            <v>52800.000000000007</v>
          </cell>
        </row>
        <row r="791">
          <cell r="A791">
            <v>0</v>
          </cell>
          <cell r="B791">
            <v>0</v>
          </cell>
          <cell r="C791" t="str">
            <v>Total 01.09.43</v>
          </cell>
          <cell r="D791">
            <v>1</v>
          </cell>
          <cell r="E791">
            <v>0</v>
          </cell>
          <cell r="F791">
            <v>0</v>
          </cell>
          <cell r="G791">
            <v>52800.000000000007</v>
          </cell>
          <cell r="H791">
            <v>0</v>
          </cell>
          <cell r="I791">
            <v>52800.000000000007</v>
          </cell>
        </row>
        <row r="792">
          <cell r="A792" t="str">
            <v>01.09.44</v>
          </cell>
          <cell r="B792" t="str">
            <v>Partida</v>
          </cell>
          <cell r="C792" t="str">
            <v>Puerta batiente en marco aluminio plata P-40 con cristal 1/4" (1.0x2.1)mts en muro de bloques</v>
          </cell>
          <cell r="D792">
            <v>1</v>
          </cell>
          <cell r="E792" t="str">
            <v>u</v>
          </cell>
          <cell r="F792">
            <v>0</v>
          </cell>
          <cell r="G792">
            <v>27500.000000000004</v>
          </cell>
          <cell r="H792">
            <v>0</v>
          </cell>
          <cell r="I792">
            <v>27500.000000000004</v>
          </cell>
        </row>
        <row r="793">
          <cell r="A793" t="str">
            <v>SC040832</v>
          </cell>
          <cell r="B793" t="str">
            <v>Otros</v>
          </cell>
          <cell r="C793" t="str">
            <v>Sum./ Instalación Puerta batiente en marco aluminio plata P-40 con cristal 1/4" (1.0x2.1)mts</v>
          </cell>
          <cell r="D793">
            <v>1</v>
          </cell>
          <cell r="E793" t="str">
            <v>u</v>
          </cell>
          <cell r="F793">
            <v>27500.000000000004</v>
          </cell>
          <cell r="G793">
            <v>27500.000000000004</v>
          </cell>
          <cell r="H793">
            <v>0</v>
          </cell>
          <cell r="I793">
            <v>27500.000000000004</v>
          </cell>
        </row>
        <row r="794">
          <cell r="A794">
            <v>0</v>
          </cell>
          <cell r="B794">
            <v>0</v>
          </cell>
          <cell r="C794" t="str">
            <v>Total 01.09.44</v>
          </cell>
          <cell r="D794">
            <v>1</v>
          </cell>
          <cell r="E794">
            <v>0</v>
          </cell>
          <cell r="F794">
            <v>0</v>
          </cell>
          <cell r="G794">
            <v>27500.000000000004</v>
          </cell>
          <cell r="H794">
            <v>0</v>
          </cell>
          <cell r="I794">
            <v>27500.000000000004</v>
          </cell>
        </row>
        <row r="795">
          <cell r="A795" t="str">
            <v>01.09.45</v>
          </cell>
          <cell r="B795" t="str">
            <v>Partida</v>
          </cell>
          <cell r="C795" t="str">
            <v>Puerta doble en PVC. (1.0x2.95)mts</v>
          </cell>
          <cell r="D795">
            <v>1</v>
          </cell>
          <cell r="E795" t="str">
            <v>u</v>
          </cell>
          <cell r="F795">
            <v>0</v>
          </cell>
          <cell r="G795">
            <v>8580</v>
          </cell>
          <cell r="H795">
            <v>1544.3999999999999</v>
          </cell>
          <cell r="I795">
            <v>10124.4</v>
          </cell>
        </row>
        <row r="796">
          <cell r="A796" t="str">
            <v>P4005149</v>
          </cell>
          <cell r="B796" t="str">
            <v>Material</v>
          </cell>
          <cell r="C796" t="str">
            <v>Puerta doble en PVC. (1.0x2.95)mts</v>
          </cell>
          <cell r="D796">
            <v>1</v>
          </cell>
          <cell r="E796" t="str">
            <v>u</v>
          </cell>
          <cell r="F796">
            <v>8580</v>
          </cell>
          <cell r="G796">
            <v>8580</v>
          </cell>
          <cell r="H796">
            <v>1544.3999999999999</v>
          </cell>
          <cell r="I796">
            <v>10124.4</v>
          </cell>
        </row>
        <row r="797">
          <cell r="A797" t="str">
            <v>P2201029</v>
          </cell>
          <cell r="B797" t="str">
            <v>Material</v>
          </cell>
          <cell r="C797" t="str">
            <v>Cerradura Schlage o similar c/ Regular</v>
          </cell>
          <cell r="D797">
            <v>1</v>
          </cell>
          <cell r="E797" t="str">
            <v>u</v>
          </cell>
          <cell r="F797">
            <v>450</v>
          </cell>
          <cell r="G797">
            <v>450</v>
          </cell>
          <cell r="H797">
            <v>81</v>
          </cell>
          <cell r="I797">
            <v>531</v>
          </cell>
        </row>
        <row r="798">
          <cell r="A798" t="str">
            <v>H0920567</v>
          </cell>
          <cell r="B798" t="str">
            <v>Mano de obra</v>
          </cell>
          <cell r="C798" t="str">
            <v>M.O. Instalación Puerta Polimetal, 2H</v>
          </cell>
          <cell r="D798">
            <v>1</v>
          </cell>
          <cell r="E798" t="str">
            <v>u</v>
          </cell>
          <cell r="F798">
            <v>1500</v>
          </cell>
          <cell r="G798">
            <v>1500</v>
          </cell>
          <cell r="H798">
            <v>0</v>
          </cell>
          <cell r="I798">
            <v>1500</v>
          </cell>
        </row>
        <row r="799">
          <cell r="A799" t="str">
            <v>H%FH</v>
          </cell>
          <cell r="B799" t="str">
            <v>Otros</v>
          </cell>
          <cell r="C799" t="str">
            <v>Factor Herramientas</v>
          </cell>
          <cell r="D799">
            <v>1</v>
          </cell>
          <cell r="E799" t="str">
            <v>%</v>
          </cell>
          <cell r="F799">
            <v>1500</v>
          </cell>
          <cell r="G799">
            <v>15</v>
          </cell>
          <cell r="H799">
            <v>0</v>
          </cell>
          <cell r="I799">
            <v>15</v>
          </cell>
        </row>
        <row r="800">
          <cell r="A800">
            <v>0</v>
          </cell>
          <cell r="B800">
            <v>0</v>
          </cell>
          <cell r="C800" t="str">
            <v>Total 01.09.45</v>
          </cell>
          <cell r="D800">
            <v>1</v>
          </cell>
          <cell r="E800">
            <v>0</v>
          </cell>
          <cell r="F800">
            <v>0</v>
          </cell>
          <cell r="G800">
            <v>8580</v>
          </cell>
          <cell r="H800">
            <v>1544.3999999999999</v>
          </cell>
          <cell r="I800">
            <v>10124.4</v>
          </cell>
        </row>
        <row r="801">
          <cell r="A801" t="str">
            <v>01.09.46</v>
          </cell>
          <cell r="B801" t="str">
            <v>Partida</v>
          </cell>
          <cell r="C801" t="str">
            <v>Puerta doble comercial polimetal con visor 2.0x2.10mt con transon h=0.30mt</v>
          </cell>
          <cell r="D801">
            <v>1</v>
          </cell>
          <cell r="E801" t="str">
            <v>u</v>
          </cell>
          <cell r="F801">
            <v>0</v>
          </cell>
          <cell r="G801">
            <v>14355.932203389812</v>
          </cell>
          <cell r="H801">
            <v>2584.0677966101662</v>
          </cell>
          <cell r="I801">
            <v>16939.999999999978</v>
          </cell>
        </row>
        <row r="802">
          <cell r="A802" t="str">
            <v>P4005049</v>
          </cell>
          <cell r="B802" t="str">
            <v>Material</v>
          </cell>
          <cell r="C802" t="str">
            <v>Puerta doble comercial polimetal con visor 2.0x2.10mt con transon h=0.30mt</v>
          </cell>
          <cell r="D802">
            <v>1</v>
          </cell>
          <cell r="E802" t="str">
            <v>u</v>
          </cell>
          <cell r="F802">
            <v>14355.932203389812</v>
          </cell>
          <cell r="G802">
            <v>14355.932203389812</v>
          </cell>
          <cell r="H802">
            <v>2584.0677966101662</v>
          </cell>
          <cell r="I802">
            <v>16939.999999999978</v>
          </cell>
        </row>
        <row r="803">
          <cell r="A803" t="str">
            <v>P2201029</v>
          </cell>
          <cell r="B803" t="str">
            <v>Material</v>
          </cell>
          <cell r="C803" t="str">
            <v>Cerradura Schlage o similar c/ Regular</v>
          </cell>
          <cell r="D803">
            <v>1</v>
          </cell>
          <cell r="E803" t="str">
            <v>u</v>
          </cell>
          <cell r="F803">
            <v>450</v>
          </cell>
          <cell r="G803">
            <v>450</v>
          </cell>
          <cell r="H803">
            <v>81</v>
          </cell>
          <cell r="I803">
            <v>531</v>
          </cell>
        </row>
        <row r="804">
          <cell r="A804" t="str">
            <v>H0920567</v>
          </cell>
          <cell r="B804" t="str">
            <v>Mano de obra</v>
          </cell>
          <cell r="C804" t="str">
            <v>M.O. Instalación Puerta Polimetal, 2H</v>
          </cell>
          <cell r="D804">
            <v>1</v>
          </cell>
          <cell r="E804" t="str">
            <v>u</v>
          </cell>
          <cell r="F804">
            <v>1500</v>
          </cell>
          <cell r="G804">
            <v>1500</v>
          </cell>
          <cell r="H804">
            <v>0</v>
          </cell>
          <cell r="I804">
            <v>1500</v>
          </cell>
        </row>
        <row r="805">
          <cell r="A805" t="str">
            <v>H%FH</v>
          </cell>
          <cell r="B805" t="str">
            <v>Otros</v>
          </cell>
          <cell r="C805" t="str">
            <v>Factor Herramientas</v>
          </cell>
          <cell r="D805">
            <v>1</v>
          </cell>
          <cell r="E805" t="str">
            <v>%</v>
          </cell>
          <cell r="F805">
            <v>1500</v>
          </cell>
          <cell r="G805">
            <v>15</v>
          </cell>
          <cell r="H805">
            <v>0</v>
          </cell>
          <cell r="I805">
            <v>15</v>
          </cell>
        </row>
        <row r="806">
          <cell r="A806">
            <v>0</v>
          </cell>
          <cell r="B806">
            <v>0</v>
          </cell>
          <cell r="C806" t="str">
            <v>Total 01.09.46</v>
          </cell>
          <cell r="D806">
            <v>1</v>
          </cell>
          <cell r="E806">
            <v>0</v>
          </cell>
          <cell r="F806">
            <v>0</v>
          </cell>
          <cell r="G806">
            <v>14355.932203389812</v>
          </cell>
          <cell r="H806">
            <v>2584.0677966101662</v>
          </cell>
          <cell r="I806">
            <v>16939.999999999978</v>
          </cell>
        </row>
        <row r="807">
          <cell r="A807" t="str">
            <v>01.09.47</v>
          </cell>
          <cell r="B807" t="str">
            <v>Partida</v>
          </cell>
          <cell r="C807" t="str">
            <v>Puerta Madera Andiroba (1.80*2.40mt)</v>
          </cell>
          <cell r="D807">
            <v>1</v>
          </cell>
          <cell r="E807" t="str">
            <v>u</v>
          </cell>
          <cell r="F807">
            <v>0</v>
          </cell>
          <cell r="G807">
            <v>40867.200000000004</v>
          </cell>
          <cell r="H807">
            <v>0</v>
          </cell>
          <cell r="I807">
            <v>40867.200000000004</v>
          </cell>
        </row>
        <row r="808">
          <cell r="A808" t="str">
            <v>SC070121</v>
          </cell>
          <cell r="B808" t="str">
            <v>Otros</v>
          </cell>
          <cell r="C808" t="str">
            <v>Sum./ Instlación Puerta Madera Andiroba (1.80*2.40mt)</v>
          </cell>
          <cell r="D808">
            <v>1</v>
          </cell>
          <cell r="E808" t="str">
            <v>u</v>
          </cell>
          <cell r="F808">
            <v>40867.200000000004</v>
          </cell>
          <cell r="G808">
            <v>40867.200000000004</v>
          </cell>
          <cell r="H808">
            <v>0</v>
          </cell>
          <cell r="I808">
            <v>40867.200000000004</v>
          </cell>
        </row>
        <row r="809">
          <cell r="A809">
            <v>0</v>
          </cell>
          <cell r="B809">
            <v>0</v>
          </cell>
          <cell r="C809" t="str">
            <v>Total 01.09.47</v>
          </cell>
          <cell r="D809">
            <v>1</v>
          </cell>
          <cell r="E809">
            <v>0</v>
          </cell>
          <cell r="F809">
            <v>0</v>
          </cell>
          <cell r="G809">
            <v>40867.200000000004</v>
          </cell>
          <cell r="H809">
            <v>0</v>
          </cell>
          <cell r="I809">
            <v>40867.200000000004</v>
          </cell>
        </row>
        <row r="810">
          <cell r="A810" t="str">
            <v>01.09.48</v>
          </cell>
          <cell r="B810" t="str">
            <v>Partida</v>
          </cell>
          <cell r="C810" t="str">
            <v>Puerta Madera Andiroba (1.70*2.40mt)</v>
          </cell>
          <cell r="D810">
            <v>1</v>
          </cell>
          <cell r="E810" t="str">
            <v>u</v>
          </cell>
          <cell r="F810">
            <v>0</v>
          </cell>
          <cell r="G810">
            <v>38596.800000000003</v>
          </cell>
          <cell r="H810">
            <v>0</v>
          </cell>
          <cell r="I810">
            <v>38596.800000000003</v>
          </cell>
        </row>
        <row r="811">
          <cell r="A811" t="str">
            <v>SC070122</v>
          </cell>
          <cell r="B811" t="str">
            <v>Otros</v>
          </cell>
          <cell r="C811" t="str">
            <v>Sum./ Instlación Puerta Madera Andiroba (1.70*2.40mt)</v>
          </cell>
          <cell r="D811">
            <v>1</v>
          </cell>
          <cell r="E811" t="str">
            <v>u</v>
          </cell>
          <cell r="F811">
            <v>38596.800000000003</v>
          </cell>
          <cell r="G811">
            <v>38596.800000000003</v>
          </cell>
          <cell r="H811">
            <v>0</v>
          </cell>
          <cell r="I811">
            <v>38596.800000000003</v>
          </cell>
        </row>
        <row r="812">
          <cell r="A812">
            <v>0</v>
          </cell>
          <cell r="B812">
            <v>0</v>
          </cell>
          <cell r="C812" t="str">
            <v>Total 01.09.48</v>
          </cell>
          <cell r="D812">
            <v>1</v>
          </cell>
          <cell r="E812">
            <v>0</v>
          </cell>
          <cell r="F812">
            <v>0</v>
          </cell>
          <cell r="G812">
            <v>38596.800000000003</v>
          </cell>
          <cell r="H812">
            <v>0</v>
          </cell>
          <cell r="I812">
            <v>38596.800000000003</v>
          </cell>
        </row>
        <row r="813">
          <cell r="A813" t="str">
            <v>01.09.49</v>
          </cell>
          <cell r="B813" t="str">
            <v>Partida</v>
          </cell>
          <cell r="C813" t="str">
            <v>Puerta Madera Andiroba (.80*2.40mt)</v>
          </cell>
          <cell r="D813">
            <v>1</v>
          </cell>
          <cell r="E813" t="str">
            <v>u</v>
          </cell>
          <cell r="F813">
            <v>0</v>
          </cell>
          <cell r="G813">
            <v>18163.2</v>
          </cell>
          <cell r="H813">
            <v>0</v>
          </cell>
          <cell r="I813">
            <v>18163.2</v>
          </cell>
        </row>
        <row r="814">
          <cell r="A814" t="str">
            <v>SC070123</v>
          </cell>
          <cell r="B814" t="str">
            <v>Otros</v>
          </cell>
          <cell r="C814" t="str">
            <v>Sum./ Instlación Puerta Madera Andiroba (.80*2.40mt)</v>
          </cell>
          <cell r="D814">
            <v>1</v>
          </cell>
          <cell r="E814" t="str">
            <v>u</v>
          </cell>
          <cell r="F814">
            <v>18163.2</v>
          </cell>
          <cell r="G814">
            <v>18163.2</v>
          </cell>
          <cell r="H814">
            <v>0</v>
          </cell>
          <cell r="I814">
            <v>18163.2</v>
          </cell>
        </row>
        <row r="815">
          <cell r="A815">
            <v>0</v>
          </cell>
          <cell r="B815">
            <v>0</v>
          </cell>
          <cell r="C815" t="str">
            <v>Total 01.09.49</v>
          </cell>
          <cell r="D815">
            <v>1</v>
          </cell>
          <cell r="E815">
            <v>0</v>
          </cell>
          <cell r="F815">
            <v>0</v>
          </cell>
          <cell r="G815">
            <v>18163.2</v>
          </cell>
          <cell r="H815">
            <v>0</v>
          </cell>
          <cell r="I815">
            <v>18163.2</v>
          </cell>
        </row>
        <row r="816">
          <cell r="A816" t="str">
            <v>01.09.50</v>
          </cell>
          <cell r="B816" t="str">
            <v>Partida</v>
          </cell>
          <cell r="C816" t="str">
            <v>Puerta Madera Andiroba (1.00*2.10mt)</v>
          </cell>
          <cell r="D816">
            <v>1</v>
          </cell>
          <cell r="E816" t="str">
            <v>u</v>
          </cell>
          <cell r="F816">
            <v>0</v>
          </cell>
          <cell r="G816">
            <v>19884.48</v>
          </cell>
          <cell r="H816">
            <v>0</v>
          </cell>
          <cell r="I816">
            <v>19884.48</v>
          </cell>
        </row>
        <row r="817">
          <cell r="A817" t="str">
            <v>SC070124</v>
          </cell>
          <cell r="B817" t="str">
            <v>Otros</v>
          </cell>
          <cell r="C817" t="str">
            <v>Sum./ Instlación Puerta Madera Andiroba (1.00*2.10mt)</v>
          </cell>
          <cell r="D817">
            <v>1</v>
          </cell>
          <cell r="E817" t="str">
            <v>u</v>
          </cell>
          <cell r="F817">
            <v>19884.48</v>
          </cell>
          <cell r="G817">
            <v>19884.48</v>
          </cell>
          <cell r="H817">
            <v>0</v>
          </cell>
          <cell r="I817">
            <v>19884.48</v>
          </cell>
        </row>
        <row r="818">
          <cell r="A818">
            <v>0</v>
          </cell>
          <cell r="B818">
            <v>0</v>
          </cell>
          <cell r="C818" t="str">
            <v>Total 01.09.50</v>
          </cell>
          <cell r="D818">
            <v>1</v>
          </cell>
          <cell r="E818">
            <v>0</v>
          </cell>
          <cell r="F818">
            <v>0</v>
          </cell>
          <cell r="G818">
            <v>19884.48</v>
          </cell>
          <cell r="H818">
            <v>0</v>
          </cell>
          <cell r="I818">
            <v>19884.48</v>
          </cell>
        </row>
        <row r="819">
          <cell r="A819" t="str">
            <v>01.09.51</v>
          </cell>
          <cell r="B819" t="str">
            <v>Partida</v>
          </cell>
          <cell r="C819" t="str">
            <v>Puerta Madera Andiroba (0.90*2.10mt)</v>
          </cell>
          <cell r="D819">
            <v>1</v>
          </cell>
          <cell r="E819" t="str">
            <v>u</v>
          </cell>
          <cell r="F819">
            <v>0</v>
          </cell>
          <cell r="G819">
            <v>14540.526000000002</v>
          </cell>
          <cell r="H819">
            <v>0</v>
          </cell>
          <cell r="I819">
            <v>14540.526000000002</v>
          </cell>
        </row>
        <row r="820">
          <cell r="A820" t="str">
            <v>SC070125</v>
          </cell>
          <cell r="B820" t="str">
            <v>Otros</v>
          </cell>
          <cell r="C820" t="str">
            <v>Sum./ Instlación Puerta Madera Andiroba (0.90*2.10mt)</v>
          </cell>
          <cell r="D820">
            <v>1</v>
          </cell>
          <cell r="E820" t="str">
            <v>u</v>
          </cell>
          <cell r="F820">
            <v>14540.526000000002</v>
          </cell>
          <cell r="G820">
            <v>14540.526000000002</v>
          </cell>
          <cell r="H820">
            <v>0</v>
          </cell>
          <cell r="I820">
            <v>14540.526000000002</v>
          </cell>
        </row>
        <row r="821">
          <cell r="A821">
            <v>0</v>
          </cell>
          <cell r="B821">
            <v>0</v>
          </cell>
          <cell r="C821" t="str">
            <v>Total 01.09.51</v>
          </cell>
          <cell r="D821">
            <v>1</v>
          </cell>
          <cell r="E821">
            <v>0</v>
          </cell>
          <cell r="F821">
            <v>0</v>
          </cell>
          <cell r="G821">
            <v>14540.526000000002</v>
          </cell>
          <cell r="H821">
            <v>0</v>
          </cell>
          <cell r="I821">
            <v>14540.526000000002</v>
          </cell>
        </row>
        <row r="822">
          <cell r="A822" t="str">
            <v>01.09.52</v>
          </cell>
          <cell r="B822" t="str">
            <v>Partida</v>
          </cell>
          <cell r="C822" t="str">
            <v>Puerta Madera Andiroba (0.80*2.10mt)</v>
          </cell>
          <cell r="D822">
            <v>1</v>
          </cell>
          <cell r="E822" t="str">
            <v>u</v>
          </cell>
          <cell r="F822">
            <v>0</v>
          </cell>
          <cell r="G822">
            <v>14540.526000000002</v>
          </cell>
          <cell r="H822">
            <v>0</v>
          </cell>
          <cell r="I822">
            <v>14540.526000000002</v>
          </cell>
        </row>
        <row r="823">
          <cell r="A823" t="str">
            <v>SC070126</v>
          </cell>
          <cell r="B823" t="str">
            <v>Otros</v>
          </cell>
          <cell r="C823" t="str">
            <v>Sum./ Instlación Puerta Madera Andiroba (0.80*2.10mt)</v>
          </cell>
          <cell r="D823">
            <v>1</v>
          </cell>
          <cell r="E823" t="str">
            <v>u</v>
          </cell>
          <cell r="F823">
            <v>14540.526000000002</v>
          </cell>
          <cell r="G823">
            <v>14540.526000000002</v>
          </cell>
          <cell r="H823">
            <v>0</v>
          </cell>
          <cell r="I823">
            <v>14540.526000000002</v>
          </cell>
        </row>
        <row r="824">
          <cell r="A824">
            <v>0</v>
          </cell>
          <cell r="B824">
            <v>0</v>
          </cell>
          <cell r="C824" t="str">
            <v>Total 01.09.51</v>
          </cell>
          <cell r="D824">
            <v>1</v>
          </cell>
          <cell r="E824">
            <v>0</v>
          </cell>
          <cell r="F824">
            <v>0</v>
          </cell>
          <cell r="G824">
            <v>14540.526000000002</v>
          </cell>
          <cell r="H824">
            <v>0</v>
          </cell>
          <cell r="I824">
            <v>14540.526000000002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01.10</v>
          </cell>
          <cell r="B827" t="str">
            <v>Capítulo</v>
          </cell>
          <cell r="C827" t="str">
            <v>VENTANAS :</v>
          </cell>
          <cell r="D827">
            <v>0</v>
          </cell>
          <cell r="E827" t="str">
            <v/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01.10.01</v>
          </cell>
          <cell r="B828" t="str">
            <v>Partida</v>
          </cell>
          <cell r="C828" t="str">
            <v>Ventanas Corredizas Policarbonato anti-golpes con marco de Aluminio</v>
          </cell>
          <cell r="D828">
            <v>1</v>
          </cell>
          <cell r="E828" t="str">
            <v>p²</v>
          </cell>
          <cell r="F828">
            <v>0</v>
          </cell>
          <cell r="G828">
            <v>684.41538806359176</v>
          </cell>
          <cell r="H828">
            <v>0</v>
          </cell>
          <cell r="I828">
            <v>684.41538806359176</v>
          </cell>
        </row>
        <row r="829">
          <cell r="A829" t="str">
            <v>SC040810</v>
          </cell>
          <cell r="B829" t="str">
            <v>Otros</v>
          </cell>
          <cell r="C829" t="str">
            <v>Sum./ Instalación Ventanas Corredizas Policarbonato anti-golpes con marco de Aluminio</v>
          </cell>
          <cell r="D829">
            <v>1</v>
          </cell>
          <cell r="E829" t="str">
            <v>p²</v>
          </cell>
          <cell r="F829">
            <v>684.41538806359176</v>
          </cell>
          <cell r="G829">
            <v>684.41538806359176</v>
          </cell>
          <cell r="H829">
            <v>0</v>
          </cell>
          <cell r="I829">
            <v>684.41538806359176</v>
          </cell>
        </row>
        <row r="830">
          <cell r="A830">
            <v>0</v>
          </cell>
          <cell r="B830">
            <v>0</v>
          </cell>
          <cell r="C830" t="str">
            <v>Total 01.10.01</v>
          </cell>
          <cell r="D830">
            <v>1</v>
          </cell>
          <cell r="E830">
            <v>0</v>
          </cell>
          <cell r="F830">
            <v>0</v>
          </cell>
          <cell r="G830">
            <v>684.41538806359176</v>
          </cell>
          <cell r="H830">
            <v>0</v>
          </cell>
          <cell r="I830">
            <v>684.41538806359176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01.10.02</v>
          </cell>
          <cell r="B832" t="str">
            <v>Partida</v>
          </cell>
          <cell r="C832" t="str">
            <v>Policarbonato antigolpes resistente a la tensión y rotura transparente en control</v>
          </cell>
          <cell r="D832">
            <v>1</v>
          </cell>
          <cell r="E832" t="str">
            <v>p²</v>
          </cell>
          <cell r="F832">
            <v>0</v>
          </cell>
          <cell r="G832">
            <v>480.969192880344</v>
          </cell>
          <cell r="H832">
            <v>0</v>
          </cell>
          <cell r="I832">
            <v>480.969192880344</v>
          </cell>
        </row>
        <row r="833">
          <cell r="A833" t="str">
            <v>SC040811</v>
          </cell>
          <cell r="B833" t="str">
            <v>Otros</v>
          </cell>
          <cell r="C833" t="str">
            <v>Sum./ Instalación Policarbonato antigolpes resistente a la tensión y rotura transparente</v>
          </cell>
          <cell r="D833">
            <v>1</v>
          </cell>
          <cell r="E833" t="str">
            <v>p²</v>
          </cell>
          <cell r="F833">
            <v>480.969192880344</v>
          </cell>
          <cell r="G833">
            <v>480.969192880344</v>
          </cell>
          <cell r="H833">
            <v>0</v>
          </cell>
          <cell r="I833">
            <v>480.969192880344</v>
          </cell>
        </row>
        <row r="834">
          <cell r="A834">
            <v>0</v>
          </cell>
          <cell r="B834">
            <v>0</v>
          </cell>
          <cell r="C834" t="str">
            <v>Total 01.10.02</v>
          </cell>
          <cell r="D834">
            <v>1</v>
          </cell>
          <cell r="E834">
            <v>0</v>
          </cell>
          <cell r="F834">
            <v>0</v>
          </cell>
          <cell r="G834">
            <v>480.969192880344</v>
          </cell>
          <cell r="H834">
            <v>0</v>
          </cell>
          <cell r="I834">
            <v>480.969192880344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01.10.03</v>
          </cell>
          <cell r="B836" t="str">
            <v>Partida</v>
          </cell>
          <cell r="C836" t="str">
            <v>Ventanas Corredizas Policarbonato anti-golpes con marco de Aluminio</v>
          </cell>
          <cell r="D836">
            <v>1</v>
          </cell>
          <cell r="E836" t="str">
            <v>m²</v>
          </cell>
          <cell r="F836">
            <v>0</v>
          </cell>
          <cell r="G836">
            <v>7364.3095755642471</v>
          </cell>
          <cell r="H836">
            <v>0</v>
          </cell>
          <cell r="I836">
            <v>7364.3095755642471</v>
          </cell>
        </row>
        <row r="837">
          <cell r="A837" t="str">
            <v>SC040810</v>
          </cell>
          <cell r="B837" t="str">
            <v>Otros</v>
          </cell>
          <cell r="C837" t="str">
            <v>Sum./ Instalación Ventanas Corredizas Policarbonato anti-golpes con marco de Aluminio</v>
          </cell>
          <cell r="D837">
            <v>10.76</v>
          </cell>
          <cell r="E837" t="str">
            <v>p²</v>
          </cell>
          <cell r="F837">
            <v>684.41538806359176</v>
          </cell>
          <cell r="G837">
            <v>7364.3095755642471</v>
          </cell>
          <cell r="H837">
            <v>0</v>
          </cell>
          <cell r="I837">
            <v>7364.3095755642471</v>
          </cell>
        </row>
        <row r="838">
          <cell r="A838">
            <v>0</v>
          </cell>
          <cell r="B838">
            <v>0</v>
          </cell>
          <cell r="C838" t="str">
            <v>Total 01.10.03</v>
          </cell>
          <cell r="D838">
            <v>1</v>
          </cell>
          <cell r="E838">
            <v>0</v>
          </cell>
          <cell r="F838">
            <v>0</v>
          </cell>
          <cell r="G838">
            <v>7364.3095755642471</v>
          </cell>
          <cell r="H838">
            <v>0</v>
          </cell>
          <cell r="I838">
            <v>7364.3095755642471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01.10.04</v>
          </cell>
          <cell r="B840" t="str">
            <v>Partida</v>
          </cell>
          <cell r="C840" t="str">
            <v>Louvers en aluminio</v>
          </cell>
          <cell r="D840">
            <v>1</v>
          </cell>
          <cell r="E840" t="str">
            <v>m²</v>
          </cell>
          <cell r="F840">
            <v>0</v>
          </cell>
          <cell r="G840">
            <v>6500</v>
          </cell>
          <cell r="H840">
            <v>0</v>
          </cell>
          <cell r="I840">
            <v>6500</v>
          </cell>
        </row>
        <row r="841">
          <cell r="A841" t="str">
            <v>SC040815</v>
          </cell>
          <cell r="B841" t="str">
            <v>Otros</v>
          </cell>
          <cell r="C841" t="str">
            <v>Sum./ Instalación de Louvers</v>
          </cell>
          <cell r="D841">
            <v>1</v>
          </cell>
          <cell r="E841" t="str">
            <v>m²</v>
          </cell>
          <cell r="F841">
            <v>6500</v>
          </cell>
          <cell r="G841">
            <v>6500</v>
          </cell>
          <cell r="H841">
            <v>0</v>
          </cell>
          <cell r="I841">
            <v>6500</v>
          </cell>
        </row>
        <row r="842">
          <cell r="A842">
            <v>0</v>
          </cell>
          <cell r="B842">
            <v>0</v>
          </cell>
          <cell r="C842" t="str">
            <v>Total 01.10.04</v>
          </cell>
          <cell r="D842">
            <v>1</v>
          </cell>
          <cell r="E842">
            <v>0</v>
          </cell>
          <cell r="F842">
            <v>0</v>
          </cell>
          <cell r="G842">
            <v>6500</v>
          </cell>
          <cell r="H842">
            <v>0</v>
          </cell>
          <cell r="I842">
            <v>6500</v>
          </cell>
        </row>
        <row r="843">
          <cell r="A843" t="str">
            <v>01.10.05</v>
          </cell>
          <cell r="B843" t="str">
            <v>Partida</v>
          </cell>
          <cell r="C843" t="str">
            <v>Policarbonato antigolpes resistente a la tensión y rotura transparente en control</v>
          </cell>
          <cell r="D843">
            <v>1</v>
          </cell>
          <cell r="E843" t="str">
            <v>m²</v>
          </cell>
          <cell r="F843">
            <v>0</v>
          </cell>
          <cell r="G843">
            <v>7364.3095755642471</v>
          </cell>
          <cell r="H843">
            <v>0</v>
          </cell>
          <cell r="I843">
            <v>7364.3095755642471</v>
          </cell>
        </row>
        <row r="844">
          <cell r="A844" t="str">
            <v>SC040810</v>
          </cell>
          <cell r="B844" t="str">
            <v>Otros</v>
          </cell>
          <cell r="C844" t="str">
            <v>Sum./ Instalación Ventanas Corredizas Policarbonato anti-golpes con marco de Aluminio</v>
          </cell>
          <cell r="D844">
            <v>10.76</v>
          </cell>
          <cell r="E844" t="str">
            <v>p²</v>
          </cell>
          <cell r="F844">
            <v>684.41538806359176</v>
          </cell>
          <cell r="G844">
            <v>7364.3095755642471</v>
          </cell>
          <cell r="H844">
            <v>0</v>
          </cell>
          <cell r="I844">
            <v>7364.3095755642471</v>
          </cell>
        </row>
        <row r="845">
          <cell r="A845">
            <v>0</v>
          </cell>
          <cell r="B845">
            <v>0</v>
          </cell>
          <cell r="C845" t="str">
            <v>Total 01.10.05</v>
          </cell>
          <cell r="D845">
            <v>1</v>
          </cell>
          <cell r="E845">
            <v>0</v>
          </cell>
          <cell r="F845">
            <v>0</v>
          </cell>
          <cell r="G845">
            <v>7364.3095755642471</v>
          </cell>
          <cell r="H845">
            <v>0</v>
          </cell>
          <cell r="I845">
            <v>7364.3095755642471</v>
          </cell>
        </row>
        <row r="846">
          <cell r="A846" t="str">
            <v>01.10.06</v>
          </cell>
          <cell r="B846" t="str">
            <v>Partida</v>
          </cell>
          <cell r="C846" t="str">
            <v>Ventana de Aluminio y Vidrio</v>
          </cell>
          <cell r="D846">
            <v>1</v>
          </cell>
          <cell r="E846" t="str">
            <v>p²</v>
          </cell>
          <cell r="F846">
            <v>0</v>
          </cell>
          <cell r="G846">
            <v>236.50000000000003</v>
          </cell>
          <cell r="H846">
            <v>0</v>
          </cell>
          <cell r="I846">
            <v>236.50000000000003</v>
          </cell>
        </row>
        <row r="847">
          <cell r="A847" t="str">
            <v>SC040818</v>
          </cell>
          <cell r="B847" t="str">
            <v>Otros</v>
          </cell>
          <cell r="C847" t="str">
            <v>Sum./ Instalación Ventanas Aluminio y Vidrio</v>
          </cell>
          <cell r="D847">
            <v>1</v>
          </cell>
          <cell r="E847" t="str">
            <v>p²</v>
          </cell>
          <cell r="F847">
            <v>236.50000000000003</v>
          </cell>
          <cell r="G847">
            <v>236.50000000000003</v>
          </cell>
          <cell r="H847">
            <v>0</v>
          </cell>
          <cell r="I847">
            <v>236.50000000000003</v>
          </cell>
        </row>
        <row r="848">
          <cell r="A848">
            <v>0</v>
          </cell>
          <cell r="B848">
            <v>0</v>
          </cell>
          <cell r="C848" t="str">
            <v>Total 01.10.06</v>
          </cell>
          <cell r="D848">
            <v>1</v>
          </cell>
          <cell r="E848">
            <v>0</v>
          </cell>
          <cell r="F848">
            <v>0</v>
          </cell>
          <cell r="G848">
            <v>236.50000000000003</v>
          </cell>
          <cell r="H848">
            <v>0</v>
          </cell>
          <cell r="I848">
            <v>236.50000000000003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01.11</v>
          </cell>
          <cell r="B851" t="str">
            <v>Capítulo</v>
          </cell>
          <cell r="C851" t="str">
            <v>PINTURAS:</v>
          </cell>
          <cell r="D851">
            <v>0</v>
          </cell>
          <cell r="E851" t="str">
            <v/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01.11.01</v>
          </cell>
          <cell r="B852" t="str">
            <v>Partida</v>
          </cell>
          <cell r="C852" t="str">
            <v>Acrílica económica como base (una mano)</v>
          </cell>
          <cell r="D852">
            <v>1</v>
          </cell>
          <cell r="E852" t="str">
            <v>m²</v>
          </cell>
          <cell r="F852">
            <v>0</v>
          </cell>
          <cell r="G852">
            <v>80.351869559322026</v>
          </cell>
          <cell r="H852">
            <v>9.8056205206779659</v>
          </cell>
          <cell r="I852">
            <v>90.157490080000002</v>
          </cell>
        </row>
        <row r="853">
          <cell r="A853" t="str">
            <v>P1206016</v>
          </cell>
          <cell r="B853" t="str">
            <v>Material</v>
          </cell>
          <cell r="C853" t="str">
            <v>Imprimante Popular</v>
          </cell>
          <cell r="D853">
            <v>5.5599999999999997E-2</v>
          </cell>
          <cell r="E853" t="str">
            <v>gl</v>
          </cell>
          <cell r="F853">
            <v>852</v>
          </cell>
          <cell r="G853">
            <v>47.371199999999995</v>
          </cell>
          <cell r="H853">
            <v>8.5268159999999984</v>
          </cell>
          <cell r="I853">
            <v>55.898015999999991</v>
          </cell>
        </row>
        <row r="854">
          <cell r="A854" t="str">
            <v>P1208047</v>
          </cell>
          <cell r="B854" t="str">
            <v>Material</v>
          </cell>
          <cell r="C854" t="str">
            <v>Piedra para pintor(2"x2"x4")</v>
          </cell>
          <cell r="D854">
            <v>1.2800000000000001E-2</v>
          </cell>
          <cell r="E854" t="str">
            <v>u</v>
          </cell>
          <cell r="F854">
            <v>178.02</v>
          </cell>
          <cell r="G854">
            <v>2.2786560000000002</v>
          </cell>
          <cell r="H854">
            <v>0.41015808000000004</v>
          </cell>
          <cell r="I854">
            <v>2.6888140800000002</v>
          </cell>
        </row>
        <row r="855">
          <cell r="A855" t="str">
            <v>P1208002</v>
          </cell>
          <cell r="B855" t="str">
            <v>Material</v>
          </cell>
          <cell r="C855" t="str">
            <v>Bacineta para rolo pintor</v>
          </cell>
          <cell r="D855">
            <v>6.4000000000000003E-3</v>
          </cell>
          <cell r="E855" t="str">
            <v>u</v>
          </cell>
          <cell r="F855">
            <v>266.94915254237287</v>
          </cell>
          <cell r="G855">
            <v>1.7084745762711864</v>
          </cell>
          <cell r="H855">
            <v>0.30752542372881353</v>
          </cell>
          <cell r="I855">
            <v>2.016</v>
          </cell>
        </row>
        <row r="856">
          <cell r="A856" t="str">
            <v>P1208003</v>
          </cell>
          <cell r="B856" t="str">
            <v>Material</v>
          </cell>
          <cell r="C856" t="str">
            <v>Portarolo y Mota para pintar</v>
          </cell>
          <cell r="D856">
            <v>6.4000000000000003E-3</v>
          </cell>
          <cell r="E856" t="str">
            <v>u</v>
          </cell>
          <cell r="F856">
            <v>205</v>
          </cell>
          <cell r="G856">
            <v>1.3120000000000001</v>
          </cell>
          <cell r="H856">
            <v>0.23616000000000001</v>
          </cell>
          <cell r="I856">
            <v>1.54816</v>
          </cell>
        </row>
        <row r="857">
          <cell r="A857" t="str">
            <v>P1208007</v>
          </cell>
          <cell r="B857" t="str">
            <v>Material</v>
          </cell>
          <cell r="C857" t="str">
            <v>Brocha de pintar de 4"</v>
          </cell>
          <cell r="D857">
            <v>9.4999999999999998E-3</v>
          </cell>
          <cell r="E857" t="str">
            <v>u</v>
          </cell>
          <cell r="F857">
            <v>88.983050847457633</v>
          </cell>
          <cell r="G857">
            <v>0.84533898305084754</v>
          </cell>
          <cell r="H857">
            <v>0.15216101694915254</v>
          </cell>
          <cell r="I857">
            <v>0.99750000000000005</v>
          </cell>
        </row>
        <row r="858">
          <cell r="A858" t="str">
            <v>P1208031</v>
          </cell>
          <cell r="B858" t="str">
            <v>Material</v>
          </cell>
          <cell r="C858" t="str">
            <v>Masilla Ferre Popular (Tubo)</v>
          </cell>
          <cell r="D858">
            <v>1.2800000000000001E-2</v>
          </cell>
          <cell r="E858" t="str">
            <v>u</v>
          </cell>
          <cell r="F858">
            <v>75</v>
          </cell>
          <cell r="G858">
            <v>0.96000000000000008</v>
          </cell>
          <cell r="H858">
            <v>0.17280000000000001</v>
          </cell>
          <cell r="I858">
            <v>1.1328</v>
          </cell>
        </row>
        <row r="859">
          <cell r="A859" t="str">
            <v>H0605091</v>
          </cell>
          <cell r="B859" t="str">
            <v>Mano de obra</v>
          </cell>
          <cell r="C859" t="str">
            <v>M.O. Aplicación Primer, incluye piedra y masilla</v>
          </cell>
          <cell r="D859">
            <v>1</v>
          </cell>
          <cell r="E859" t="str">
            <v>m²</v>
          </cell>
          <cell r="F859">
            <v>25.62</v>
          </cell>
          <cell r="G859">
            <v>25.62</v>
          </cell>
          <cell r="H859">
            <v>0</v>
          </cell>
          <cell r="I859">
            <v>25.62</v>
          </cell>
        </row>
        <row r="860">
          <cell r="A860" t="str">
            <v>H%FH</v>
          </cell>
          <cell r="B860" t="str">
            <v>Otros</v>
          </cell>
          <cell r="C860" t="str">
            <v>Factor Herramientas</v>
          </cell>
          <cell r="D860">
            <v>1</v>
          </cell>
          <cell r="E860" t="str">
            <v>%</v>
          </cell>
          <cell r="F860">
            <v>25.62</v>
          </cell>
          <cell r="G860">
            <v>0.25620000000000004</v>
          </cell>
          <cell r="H860">
            <v>0</v>
          </cell>
          <cell r="I860">
            <v>0.25620000000000004</v>
          </cell>
        </row>
        <row r="861">
          <cell r="A861">
            <v>0</v>
          </cell>
          <cell r="B861">
            <v>0</v>
          </cell>
          <cell r="C861" t="str">
            <v>Total 01.11.01</v>
          </cell>
          <cell r="D861">
            <v>1</v>
          </cell>
          <cell r="E861">
            <v>0</v>
          </cell>
          <cell r="F861">
            <v>0</v>
          </cell>
          <cell r="G861">
            <v>80.351869559322026</v>
          </cell>
          <cell r="H861">
            <v>9.8056205206779659</v>
          </cell>
          <cell r="I861">
            <v>90.157490080000002</v>
          </cell>
        </row>
        <row r="862">
          <cell r="A862">
            <v>0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01.11.02</v>
          </cell>
          <cell r="B863" t="str">
            <v>Partida</v>
          </cell>
          <cell r="C863" t="str">
            <v>Acrílica semigloss en interiores</v>
          </cell>
          <cell r="D863">
            <v>1</v>
          </cell>
          <cell r="E863" t="str">
            <v>m²</v>
          </cell>
          <cell r="F863">
            <v>0</v>
          </cell>
          <cell r="G863">
            <v>97.623472881355937</v>
          </cell>
          <cell r="H863">
            <v>14.225287118644069</v>
          </cell>
          <cell r="I863">
            <v>111.84876000000001</v>
          </cell>
        </row>
        <row r="864">
          <cell r="A864" t="str">
            <v>P1205065</v>
          </cell>
          <cell r="B864" t="str">
            <v>Material</v>
          </cell>
          <cell r="C864" t="str">
            <v>Pintura Semiglos Color Preparado Popular</v>
          </cell>
          <cell r="D864">
            <v>7.3300000000000004E-2</v>
          </cell>
          <cell r="E864" t="str">
            <v>gl</v>
          </cell>
          <cell r="F864">
            <v>1025.4237288135594</v>
          </cell>
          <cell r="G864">
            <v>75.163559322033905</v>
          </cell>
          <cell r="H864">
            <v>13.529440677966102</v>
          </cell>
          <cell r="I864">
            <v>88.693000000000012</v>
          </cell>
        </row>
        <row r="865">
          <cell r="A865" t="str">
            <v>P1208002</v>
          </cell>
          <cell r="B865" t="str">
            <v>Material</v>
          </cell>
          <cell r="C865" t="str">
            <v>Bacineta para rolo pintor</v>
          </cell>
          <cell r="D865">
            <v>6.4000000000000003E-3</v>
          </cell>
          <cell r="E865" t="str">
            <v>u</v>
          </cell>
          <cell r="F865">
            <v>266.94915254237287</v>
          </cell>
          <cell r="G865">
            <v>1.7084745762711864</v>
          </cell>
          <cell r="H865">
            <v>0.30752542372881353</v>
          </cell>
          <cell r="I865">
            <v>2.016</v>
          </cell>
        </row>
        <row r="866">
          <cell r="A866" t="str">
            <v>P1208003</v>
          </cell>
          <cell r="B866" t="str">
            <v>Material</v>
          </cell>
          <cell r="C866" t="str">
            <v>Portarolo y Mota para pintar</v>
          </cell>
          <cell r="D866">
            <v>6.4000000000000003E-3</v>
          </cell>
          <cell r="E866" t="str">
            <v>u</v>
          </cell>
          <cell r="F866">
            <v>205</v>
          </cell>
          <cell r="G866">
            <v>1.3120000000000001</v>
          </cell>
          <cell r="H866">
            <v>0.23616000000000001</v>
          </cell>
          <cell r="I866">
            <v>1.54816</v>
          </cell>
        </row>
        <row r="867">
          <cell r="A867" t="str">
            <v>P1208007</v>
          </cell>
          <cell r="B867" t="str">
            <v>Material</v>
          </cell>
          <cell r="C867" t="str">
            <v>Brocha de pintar de 4"</v>
          </cell>
          <cell r="D867">
            <v>9.4999999999999998E-3</v>
          </cell>
          <cell r="E867" t="str">
            <v>u</v>
          </cell>
          <cell r="F867">
            <v>88.983050847457633</v>
          </cell>
          <cell r="G867">
            <v>0.84533898305084754</v>
          </cell>
          <cell r="H867">
            <v>0.15216101694915254</v>
          </cell>
          <cell r="I867">
            <v>0.99750000000000005</v>
          </cell>
        </row>
        <row r="868">
          <cell r="A868" t="str">
            <v>H0605053</v>
          </cell>
          <cell r="B868" t="str">
            <v>Mano de obra</v>
          </cell>
          <cell r="C868" t="str">
            <v>M.O. Aplicación Pintura en Muro, 2 Manos</v>
          </cell>
          <cell r="D868">
            <v>1</v>
          </cell>
          <cell r="E868" t="str">
            <v>m²</v>
          </cell>
          <cell r="F868">
            <v>18.41</v>
          </cell>
          <cell r="G868">
            <v>18.41</v>
          </cell>
          <cell r="H868">
            <v>0</v>
          </cell>
          <cell r="I868">
            <v>18.41</v>
          </cell>
        </row>
        <row r="869">
          <cell r="A869" t="str">
            <v>H%FH</v>
          </cell>
          <cell r="B869" t="str">
            <v>Otros</v>
          </cell>
          <cell r="C869" t="str">
            <v>Factor Herramientas</v>
          </cell>
          <cell r="D869">
            <v>1</v>
          </cell>
          <cell r="E869" t="str">
            <v>%</v>
          </cell>
          <cell r="F869">
            <v>18.41</v>
          </cell>
          <cell r="G869">
            <v>0.18410000000000001</v>
          </cell>
          <cell r="H869">
            <v>0</v>
          </cell>
          <cell r="I869">
            <v>0.18410000000000001</v>
          </cell>
        </row>
        <row r="870">
          <cell r="A870">
            <v>0</v>
          </cell>
          <cell r="B870">
            <v>0</v>
          </cell>
          <cell r="C870" t="str">
            <v>Total 01.11.02</v>
          </cell>
          <cell r="D870">
            <v>1</v>
          </cell>
          <cell r="E870">
            <v>0</v>
          </cell>
          <cell r="F870">
            <v>0</v>
          </cell>
          <cell r="G870">
            <v>97.623472881355937</v>
          </cell>
          <cell r="H870">
            <v>14.225287118644069</v>
          </cell>
          <cell r="I870">
            <v>111.84876000000001</v>
          </cell>
        </row>
        <row r="871">
          <cell r="A871">
            <v>0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</row>
        <row r="872">
          <cell r="A872" t="str">
            <v>01.11.03</v>
          </cell>
          <cell r="B872" t="str">
            <v>Partida</v>
          </cell>
          <cell r="C872" t="str">
            <v>Acrílica superior en exterior</v>
          </cell>
          <cell r="D872">
            <v>1</v>
          </cell>
          <cell r="E872" t="str">
            <v>m²</v>
          </cell>
          <cell r="F872">
            <v>0</v>
          </cell>
          <cell r="G872">
            <v>114.80059152542374</v>
          </cell>
          <cell r="H872">
            <v>17.31716847457627</v>
          </cell>
          <cell r="I872">
            <v>132.11776000000003</v>
          </cell>
        </row>
        <row r="873">
          <cell r="A873" t="str">
            <v>P1205063</v>
          </cell>
          <cell r="B873" t="str">
            <v>Material</v>
          </cell>
          <cell r="C873" t="str">
            <v>Pintura Acrílica Color Preparado Popular</v>
          </cell>
          <cell r="D873">
            <v>0.12670000000000001</v>
          </cell>
          <cell r="E873" t="str">
            <v>gl</v>
          </cell>
          <cell r="F873">
            <v>728.81355932203394</v>
          </cell>
          <cell r="G873">
            <v>92.340677966101708</v>
          </cell>
          <cell r="H873">
            <v>16.621322033898306</v>
          </cell>
          <cell r="I873">
            <v>108.96200000000002</v>
          </cell>
        </row>
        <row r="874">
          <cell r="A874" t="str">
            <v>P1208002</v>
          </cell>
          <cell r="B874" t="str">
            <v>Material</v>
          </cell>
          <cell r="C874" t="str">
            <v>Bacineta para rolo pintor</v>
          </cell>
          <cell r="D874">
            <v>6.4000000000000003E-3</v>
          </cell>
          <cell r="E874" t="str">
            <v>u</v>
          </cell>
          <cell r="F874">
            <v>266.94915254237287</v>
          </cell>
          <cell r="G874">
            <v>1.7084745762711864</v>
          </cell>
          <cell r="H874">
            <v>0.30752542372881353</v>
          </cell>
          <cell r="I874">
            <v>2.016</v>
          </cell>
        </row>
        <row r="875">
          <cell r="A875" t="str">
            <v>P1208003</v>
          </cell>
          <cell r="B875" t="str">
            <v>Material</v>
          </cell>
          <cell r="C875" t="str">
            <v>Portarolo y Mota para pintar</v>
          </cell>
          <cell r="D875">
            <v>6.4000000000000003E-3</v>
          </cell>
          <cell r="E875" t="str">
            <v>u</v>
          </cell>
          <cell r="F875">
            <v>205</v>
          </cell>
          <cell r="G875">
            <v>1.3120000000000001</v>
          </cell>
          <cell r="H875">
            <v>0.23616000000000001</v>
          </cell>
          <cell r="I875">
            <v>1.54816</v>
          </cell>
        </row>
        <row r="876">
          <cell r="A876" t="str">
            <v>P1208007</v>
          </cell>
          <cell r="B876" t="str">
            <v>Material</v>
          </cell>
          <cell r="C876" t="str">
            <v>Brocha de pintar de 4"</v>
          </cell>
          <cell r="D876">
            <v>9.4999999999999998E-3</v>
          </cell>
          <cell r="E876" t="str">
            <v>u</v>
          </cell>
          <cell r="F876">
            <v>88.983050847457633</v>
          </cell>
          <cell r="G876">
            <v>0.84533898305084754</v>
          </cell>
          <cell r="H876">
            <v>0.15216101694915254</v>
          </cell>
          <cell r="I876">
            <v>0.99750000000000005</v>
          </cell>
        </row>
        <row r="877">
          <cell r="A877" t="str">
            <v>H0605053</v>
          </cell>
          <cell r="B877" t="str">
            <v>Mano de obra</v>
          </cell>
          <cell r="C877" t="str">
            <v>M.O. Aplicación Pintura en Muro, 2 Manos</v>
          </cell>
          <cell r="D877">
            <v>1</v>
          </cell>
          <cell r="E877" t="str">
            <v>m²</v>
          </cell>
          <cell r="F877">
            <v>18.41</v>
          </cell>
          <cell r="G877">
            <v>18.41</v>
          </cell>
          <cell r="H877">
            <v>0</v>
          </cell>
          <cell r="I877">
            <v>18.41</v>
          </cell>
        </row>
        <row r="878">
          <cell r="A878" t="str">
            <v>H%FH</v>
          </cell>
          <cell r="B878" t="str">
            <v>Otros</v>
          </cell>
          <cell r="C878" t="str">
            <v>Factor Herramientas</v>
          </cell>
          <cell r="D878">
            <v>1</v>
          </cell>
          <cell r="E878" t="str">
            <v>%</v>
          </cell>
          <cell r="F878">
            <v>18.41</v>
          </cell>
          <cell r="G878">
            <v>0.18410000000000001</v>
          </cell>
          <cell r="H878">
            <v>0</v>
          </cell>
          <cell r="I878">
            <v>0.18410000000000001</v>
          </cell>
        </row>
        <row r="879">
          <cell r="A879">
            <v>0</v>
          </cell>
          <cell r="B879">
            <v>0</v>
          </cell>
          <cell r="C879" t="str">
            <v>Total 01.11.03</v>
          </cell>
          <cell r="D879">
            <v>1</v>
          </cell>
          <cell r="E879">
            <v>0</v>
          </cell>
          <cell r="F879">
            <v>0</v>
          </cell>
          <cell r="G879">
            <v>114.80059152542374</v>
          </cell>
          <cell r="H879">
            <v>17.31716847457627</v>
          </cell>
          <cell r="I879">
            <v>132.11776000000003</v>
          </cell>
        </row>
        <row r="880">
          <cell r="A880">
            <v>0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01.11.04</v>
          </cell>
          <cell r="B881" t="str">
            <v>Partida</v>
          </cell>
          <cell r="C881" t="str">
            <v>Acrílica superior en interior</v>
          </cell>
          <cell r="D881">
            <v>1</v>
          </cell>
          <cell r="E881" t="str">
            <v>m²</v>
          </cell>
          <cell r="F881">
            <v>0</v>
          </cell>
          <cell r="G881">
            <v>114.80059152542374</v>
          </cell>
          <cell r="H881">
            <v>17.31716847457627</v>
          </cell>
          <cell r="I881">
            <v>132.11776000000003</v>
          </cell>
        </row>
        <row r="882">
          <cell r="A882" t="str">
            <v>P1205063</v>
          </cell>
          <cell r="B882" t="str">
            <v>Material</v>
          </cell>
          <cell r="C882" t="str">
            <v>Pintura Acrílica Color Preparado Popular</v>
          </cell>
          <cell r="D882">
            <v>0.12670000000000001</v>
          </cell>
          <cell r="E882" t="str">
            <v>gl</v>
          </cell>
          <cell r="F882">
            <v>728.81355932203394</v>
          </cell>
          <cell r="G882">
            <v>92.340677966101708</v>
          </cell>
          <cell r="H882">
            <v>16.621322033898306</v>
          </cell>
          <cell r="I882">
            <v>108.96200000000002</v>
          </cell>
        </row>
        <row r="883">
          <cell r="A883" t="str">
            <v>P1208002</v>
          </cell>
          <cell r="B883" t="str">
            <v>Material</v>
          </cell>
          <cell r="C883" t="str">
            <v>Bacineta para rolo pintor</v>
          </cell>
          <cell r="D883">
            <v>6.4000000000000003E-3</v>
          </cell>
          <cell r="E883" t="str">
            <v>u</v>
          </cell>
          <cell r="F883">
            <v>266.94915254237287</v>
          </cell>
          <cell r="G883">
            <v>1.7084745762711864</v>
          </cell>
          <cell r="H883">
            <v>0.30752542372881353</v>
          </cell>
          <cell r="I883">
            <v>2.016</v>
          </cell>
        </row>
        <row r="884">
          <cell r="A884" t="str">
            <v>P1208003</v>
          </cell>
          <cell r="B884" t="str">
            <v>Material</v>
          </cell>
          <cell r="C884" t="str">
            <v>Portarolo y Mota para pintar</v>
          </cell>
          <cell r="D884">
            <v>6.4000000000000003E-3</v>
          </cell>
          <cell r="E884" t="str">
            <v>u</v>
          </cell>
          <cell r="F884">
            <v>205</v>
          </cell>
          <cell r="G884">
            <v>1.3120000000000001</v>
          </cell>
          <cell r="H884">
            <v>0.23616000000000001</v>
          </cell>
          <cell r="I884">
            <v>1.54816</v>
          </cell>
        </row>
        <row r="885">
          <cell r="A885" t="str">
            <v>P1208007</v>
          </cell>
          <cell r="B885" t="str">
            <v>Material</v>
          </cell>
          <cell r="C885" t="str">
            <v>Brocha de pintar de 4"</v>
          </cell>
          <cell r="D885">
            <v>9.4999999999999998E-3</v>
          </cell>
          <cell r="E885" t="str">
            <v>u</v>
          </cell>
          <cell r="F885">
            <v>88.983050847457633</v>
          </cell>
          <cell r="G885">
            <v>0.84533898305084754</v>
          </cell>
          <cell r="H885">
            <v>0.15216101694915254</v>
          </cell>
          <cell r="I885">
            <v>0.99750000000000005</v>
          </cell>
        </row>
        <row r="886">
          <cell r="A886" t="str">
            <v>H0605053</v>
          </cell>
          <cell r="B886" t="str">
            <v>Mano de obra</v>
          </cell>
          <cell r="C886" t="str">
            <v>M.O. Aplicación Pintura en Muro, 2 Manos</v>
          </cell>
          <cell r="D886">
            <v>1</v>
          </cell>
          <cell r="E886" t="str">
            <v>m²</v>
          </cell>
          <cell r="F886">
            <v>18.41</v>
          </cell>
          <cell r="G886">
            <v>18.41</v>
          </cell>
          <cell r="H886">
            <v>0</v>
          </cell>
          <cell r="I886">
            <v>18.41</v>
          </cell>
        </row>
        <row r="887">
          <cell r="A887" t="str">
            <v>H%FH</v>
          </cell>
          <cell r="B887" t="str">
            <v>Otros</v>
          </cell>
          <cell r="C887" t="str">
            <v>Factor Herramientas</v>
          </cell>
          <cell r="D887">
            <v>1</v>
          </cell>
          <cell r="E887" t="str">
            <v>%</v>
          </cell>
          <cell r="F887">
            <v>18.41</v>
          </cell>
          <cell r="G887">
            <v>0.18410000000000001</v>
          </cell>
          <cell r="H887">
            <v>0</v>
          </cell>
          <cell r="I887">
            <v>0.18410000000000001</v>
          </cell>
        </row>
        <row r="888">
          <cell r="A888">
            <v>0</v>
          </cell>
          <cell r="B888">
            <v>0</v>
          </cell>
          <cell r="C888" t="str">
            <v>Total 01.11.04</v>
          </cell>
          <cell r="D888">
            <v>1</v>
          </cell>
          <cell r="E888">
            <v>0</v>
          </cell>
          <cell r="F888">
            <v>0</v>
          </cell>
          <cell r="G888">
            <v>114.80059152542374</v>
          </cell>
          <cell r="H888">
            <v>17.31716847457627</v>
          </cell>
          <cell r="I888">
            <v>132.11776000000003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01.11.05</v>
          </cell>
          <cell r="B890" t="str">
            <v>Partida</v>
          </cell>
          <cell r="C890" t="str">
            <v>Epóxica en pared de área de duchas y vertedero</v>
          </cell>
          <cell r="D890">
            <v>1</v>
          </cell>
          <cell r="E890" t="str">
            <v>m²</v>
          </cell>
          <cell r="F890">
            <v>0</v>
          </cell>
          <cell r="G890">
            <v>276.69720169491529</v>
          </cell>
          <cell r="H890">
            <v>46.458558305084736</v>
          </cell>
          <cell r="I890">
            <v>323.15576000000004</v>
          </cell>
        </row>
        <row r="891">
          <cell r="A891" t="str">
            <v>P1204004</v>
          </cell>
          <cell r="B891" t="str">
            <v>Material</v>
          </cell>
          <cell r="C891" t="str">
            <v>Pintura Epóxica Popular</v>
          </cell>
          <cell r="D891">
            <v>0.12</v>
          </cell>
          <cell r="E891" t="str">
            <v>gl</v>
          </cell>
          <cell r="F891">
            <v>2118.6440677966102</v>
          </cell>
          <cell r="G891">
            <v>254.23728813559322</v>
          </cell>
          <cell r="H891">
            <v>45.762711864406775</v>
          </cell>
          <cell r="I891">
            <v>300</v>
          </cell>
        </row>
        <row r="892">
          <cell r="A892" t="str">
            <v>P1208002</v>
          </cell>
          <cell r="B892" t="str">
            <v>Material</v>
          </cell>
          <cell r="C892" t="str">
            <v>Bacineta para rolo pintor</v>
          </cell>
          <cell r="D892">
            <v>6.4000000000000003E-3</v>
          </cell>
          <cell r="E892" t="str">
            <v>u</v>
          </cell>
          <cell r="F892">
            <v>266.94915254237287</v>
          </cell>
          <cell r="G892">
            <v>1.7084745762711864</v>
          </cell>
          <cell r="H892">
            <v>0.30752542372881353</v>
          </cell>
          <cell r="I892">
            <v>2.016</v>
          </cell>
        </row>
        <row r="893">
          <cell r="A893" t="str">
            <v>P1208003</v>
          </cell>
          <cell r="B893" t="str">
            <v>Material</v>
          </cell>
          <cell r="C893" t="str">
            <v>Portarolo y Mota para pintar</v>
          </cell>
          <cell r="D893">
            <v>6.4000000000000003E-3</v>
          </cell>
          <cell r="E893" t="str">
            <v>u</v>
          </cell>
          <cell r="F893">
            <v>205</v>
          </cell>
          <cell r="G893">
            <v>1.3120000000000001</v>
          </cell>
          <cell r="H893">
            <v>0.23616000000000001</v>
          </cell>
          <cell r="I893">
            <v>1.54816</v>
          </cell>
        </row>
        <row r="894">
          <cell r="A894" t="str">
            <v>P1208007</v>
          </cell>
          <cell r="B894" t="str">
            <v>Material</v>
          </cell>
          <cell r="C894" t="str">
            <v>Brocha de pintar de 4"</v>
          </cell>
          <cell r="D894">
            <v>9.4999999999999998E-3</v>
          </cell>
          <cell r="E894" t="str">
            <v>u</v>
          </cell>
          <cell r="F894">
            <v>88.983050847457633</v>
          </cell>
          <cell r="G894">
            <v>0.84533898305084754</v>
          </cell>
          <cell r="H894">
            <v>0.15216101694915254</v>
          </cell>
          <cell r="I894">
            <v>0.99750000000000005</v>
          </cell>
        </row>
        <row r="895">
          <cell r="A895" t="str">
            <v>H0605053</v>
          </cell>
          <cell r="B895" t="str">
            <v>Mano de obra</v>
          </cell>
          <cell r="C895" t="str">
            <v>M.O. Aplicación Pintura en Muro, 2 Manos</v>
          </cell>
          <cell r="D895">
            <v>1</v>
          </cell>
          <cell r="E895" t="str">
            <v>m²</v>
          </cell>
          <cell r="F895">
            <v>18.41</v>
          </cell>
          <cell r="G895">
            <v>18.41</v>
          </cell>
          <cell r="H895">
            <v>0</v>
          </cell>
          <cell r="I895">
            <v>18.41</v>
          </cell>
        </row>
        <row r="896">
          <cell r="A896" t="str">
            <v>H%FH</v>
          </cell>
          <cell r="B896" t="str">
            <v>Otros</v>
          </cell>
          <cell r="C896" t="str">
            <v>Factor Herramientas</v>
          </cell>
          <cell r="D896">
            <v>1</v>
          </cell>
          <cell r="E896" t="str">
            <v>%</v>
          </cell>
          <cell r="F896">
            <v>18.41</v>
          </cell>
          <cell r="G896">
            <v>0.18410000000000001</v>
          </cell>
          <cell r="H896">
            <v>0</v>
          </cell>
          <cell r="I896">
            <v>0.18410000000000001</v>
          </cell>
        </row>
        <row r="897">
          <cell r="A897">
            <v>0</v>
          </cell>
          <cell r="B897">
            <v>0</v>
          </cell>
          <cell r="C897" t="str">
            <v>Total 01.11.05</v>
          </cell>
          <cell r="D897">
            <v>1</v>
          </cell>
          <cell r="E897">
            <v>0</v>
          </cell>
          <cell r="F897">
            <v>0</v>
          </cell>
          <cell r="G897">
            <v>276.69720169491529</v>
          </cell>
          <cell r="H897">
            <v>46.458558305084736</v>
          </cell>
          <cell r="I897">
            <v>323.15576000000004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01.11.06</v>
          </cell>
          <cell r="B899" t="str">
            <v>Partida</v>
          </cell>
          <cell r="C899" t="str">
            <v>Epóxica en piso de área de duchas</v>
          </cell>
          <cell r="D899">
            <v>1</v>
          </cell>
          <cell r="E899" t="str">
            <v>m²</v>
          </cell>
          <cell r="F899">
            <v>0</v>
          </cell>
          <cell r="G899">
            <v>276.69720169491529</v>
          </cell>
          <cell r="H899">
            <v>46.458558305084736</v>
          </cell>
          <cell r="I899">
            <v>323.15576000000004</v>
          </cell>
        </row>
        <row r="900">
          <cell r="A900" t="str">
            <v>P1204004</v>
          </cell>
          <cell r="B900" t="str">
            <v>Material</v>
          </cell>
          <cell r="C900" t="str">
            <v>Pintura Epóxica Popular</v>
          </cell>
          <cell r="D900">
            <v>0.12</v>
          </cell>
          <cell r="E900" t="str">
            <v>gl</v>
          </cell>
          <cell r="F900">
            <v>2118.6440677966102</v>
          </cell>
          <cell r="G900">
            <v>254.23728813559322</v>
          </cell>
          <cell r="H900">
            <v>45.762711864406775</v>
          </cell>
          <cell r="I900">
            <v>300</v>
          </cell>
        </row>
        <row r="901">
          <cell r="A901" t="str">
            <v>P1208002</v>
          </cell>
          <cell r="B901" t="str">
            <v>Material</v>
          </cell>
          <cell r="C901" t="str">
            <v>Bacineta para rolo pintor</v>
          </cell>
          <cell r="D901">
            <v>6.4000000000000003E-3</v>
          </cell>
          <cell r="E901" t="str">
            <v>u</v>
          </cell>
          <cell r="F901">
            <v>266.94915254237287</v>
          </cell>
          <cell r="G901">
            <v>1.7084745762711864</v>
          </cell>
          <cell r="H901">
            <v>0.30752542372881353</v>
          </cell>
          <cell r="I901">
            <v>2.016</v>
          </cell>
        </row>
        <row r="902">
          <cell r="A902" t="str">
            <v>P1208003</v>
          </cell>
          <cell r="B902" t="str">
            <v>Material</v>
          </cell>
          <cell r="C902" t="str">
            <v>Portarolo y Mota para pintar</v>
          </cell>
          <cell r="D902">
            <v>6.4000000000000003E-3</v>
          </cell>
          <cell r="E902" t="str">
            <v>u</v>
          </cell>
          <cell r="F902">
            <v>205</v>
          </cell>
          <cell r="G902">
            <v>1.3120000000000001</v>
          </cell>
          <cell r="H902">
            <v>0.23616000000000001</v>
          </cell>
          <cell r="I902">
            <v>1.54816</v>
          </cell>
        </row>
        <row r="903">
          <cell r="A903" t="str">
            <v>P1208007</v>
          </cell>
          <cell r="B903" t="str">
            <v>Material</v>
          </cell>
          <cell r="C903" t="str">
            <v>Brocha de pintar de 4"</v>
          </cell>
          <cell r="D903">
            <v>9.4999999999999998E-3</v>
          </cell>
          <cell r="E903" t="str">
            <v>u</v>
          </cell>
          <cell r="F903">
            <v>88.983050847457633</v>
          </cell>
          <cell r="G903">
            <v>0.84533898305084754</v>
          </cell>
          <cell r="H903">
            <v>0.15216101694915254</v>
          </cell>
          <cell r="I903">
            <v>0.99750000000000005</v>
          </cell>
        </row>
        <row r="904">
          <cell r="A904" t="str">
            <v>H0605053</v>
          </cell>
          <cell r="B904" t="str">
            <v>Mano de obra</v>
          </cell>
          <cell r="C904" t="str">
            <v>M.O. Aplicación Pintura en Muro, 2 Manos</v>
          </cell>
          <cell r="D904">
            <v>1</v>
          </cell>
          <cell r="E904" t="str">
            <v>m²</v>
          </cell>
          <cell r="F904">
            <v>18.41</v>
          </cell>
          <cell r="G904">
            <v>18.41</v>
          </cell>
          <cell r="H904">
            <v>0</v>
          </cell>
          <cell r="I904">
            <v>18.41</v>
          </cell>
        </row>
        <row r="905">
          <cell r="A905" t="str">
            <v>H%FH</v>
          </cell>
          <cell r="B905" t="str">
            <v>Otros</v>
          </cell>
          <cell r="C905" t="str">
            <v>Factor Herramientas</v>
          </cell>
          <cell r="D905">
            <v>1</v>
          </cell>
          <cell r="E905" t="str">
            <v>%</v>
          </cell>
          <cell r="F905">
            <v>18.41</v>
          </cell>
          <cell r="G905">
            <v>0.18410000000000001</v>
          </cell>
          <cell r="H905">
            <v>0</v>
          </cell>
          <cell r="I905">
            <v>0.18410000000000001</v>
          </cell>
        </row>
        <row r="906">
          <cell r="A906">
            <v>0</v>
          </cell>
          <cell r="B906">
            <v>0</v>
          </cell>
          <cell r="C906" t="str">
            <v>Total 01.11.06</v>
          </cell>
          <cell r="D906">
            <v>1</v>
          </cell>
          <cell r="E906">
            <v>0</v>
          </cell>
          <cell r="F906">
            <v>0</v>
          </cell>
          <cell r="G906">
            <v>276.69720169491529</v>
          </cell>
          <cell r="H906">
            <v>46.458558305084736</v>
          </cell>
          <cell r="I906">
            <v>323.15576000000004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01.11.07</v>
          </cell>
          <cell r="B908" t="str">
            <v>Partida</v>
          </cell>
          <cell r="C908" t="str">
            <v>Mantenimiento en hierro</v>
          </cell>
          <cell r="D908">
            <v>1</v>
          </cell>
          <cell r="E908" t="str">
            <v>m²</v>
          </cell>
          <cell r="F908">
            <v>0</v>
          </cell>
          <cell r="G908">
            <v>159.89720169491528</v>
          </cell>
          <cell r="H908">
            <v>25.434558305084746</v>
          </cell>
          <cell r="I908">
            <v>185.33176</v>
          </cell>
        </row>
        <row r="909">
          <cell r="A909" t="str">
            <v>P1205006</v>
          </cell>
          <cell r="B909" t="str">
            <v>Material</v>
          </cell>
          <cell r="C909" t="str">
            <v>Pintura Mant. Popular</v>
          </cell>
          <cell r="D909">
            <v>0.12670000000000001</v>
          </cell>
          <cell r="E909" t="str">
            <v>gl</v>
          </cell>
          <cell r="F909">
            <v>1084.7457627118645</v>
          </cell>
          <cell r="G909">
            <v>137.43728813559323</v>
          </cell>
          <cell r="H909">
            <v>24.738711864406781</v>
          </cell>
          <cell r="I909">
            <v>162.17600000000002</v>
          </cell>
        </row>
        <row r="910">
          <cell r="A910" t="str">
            <v>P1208002</v>
          </cell>
          <cell r="B910" t="str">
            <v>Material</v>
          </cell>
          <cell r="C910" t="str">
            <v>Bacineta para rolo pintor</v>
          </cell>
          <cell r="D910">
            <v>6.4000000000000003E-3</v>
          </cell>
          <cell r="E910" t="str">
            <v>u</v>
          </cell>
          <cell r="F910">
            <v>266.94915254237287</v>
          </cell>
          <cell r="G910">
            <v>1.7084745762711864</v>
          </cell>
          <cell r="H910">
            <v>0.30752542372881353</v>
          </cell>
          <cell r="I910">
            <v>2.016</v>
          </cell>
        </row>
        <row r="911">
          <cell r="A911" t="str">
            <v>P1208003</v>
          </cell>
          <cell r="B911" t="str">
            <v>Material</v>
          </cell>
          <cell r="C911" t="str">
            <v>Portarolo y Mota para pintar</v>
          </cell>
          <cell r="D911">
            <v>6.4000000000000003E-3</v>
          </cell>
          <cell r="E911" t="str">
            <v>u</v>
          </cell>
          <cell r="F911">
            <v>205</v>
          </cell>
          <cell r="G911">
            <v>1.3120000000000001</v>
          </cell>
          <cell r="H911">
            <v>0.23616000000000001</v>
          </cell>
          <cell r="I911">
            <v>1.54816</v>
          </cell>
        </row>
        <row r="912">
          <cell r="A912" t="str">
            <v>P1208007</v>
          </cell>
          <cell r="B912" t="str">
            <v>Material</v>
          </cell>
          <cell r="C912" t="str">
            <v>Brocha de pintar de 4"</v>
          </cell>
          <cell r="D912">
            <v>9.4999999999999998E-3</v>
          </cell>
          <cell r="E912" t="str">
            <v>u</v>
          </cell>
          <cell r="F912">
            <v>88.983050847457633</v>
          </cell>
          <cell r="G912">
            <v>0.84533898305084754</v>
          </cell>
          <cell r="H912">
            <v>0.15216101694915254</v>
          </cell>
          <cell r="I912">
            <v>0.99750000000000005</v>
          </cell>
        </row>
        <row r="913">
          <cell r="A913" t="str">
            <v>H0605054</v>
          </cell>
          <cell r="B913" t="str">
            <v>Mano de obra</v>
          </cell>
          <cell r="C913" t="str">
            <v>M.O. Aplicación Pintura de Mantenimiento, 2 Manos</v>
          </cell>
          <cell r="D913">
            <v>1</v>
          </cell>
          <cell r="E913" t="str">
            <v>m²</v>
          </cell>
          <cell r="F913">
            <v>18.41</v>
          </cell>
          <cell r="G913">
            <v>18.41</v>
          </cell>
          <cell r="H913">
            <v>0</v>
          </cell>
          <cell r="I913">
            <v>18.41</v>
          </cell>
        </row>
        <row r="914">
          <cell r="A914" t="str">
            <v>H%FH</v>
          </cell>
          <cell r="B914" t="str">
            <v>Otros</v>
          </cell>
          <cell r="C914" t="str">
            <v>Factor Herramientas</v>
          </cell>
          <cell r="D914">
            <v>1</v>
          </cell>
          <cell r="E914" t="str">
            <v>%</v>
          </cell>
          <cell r="F914">
            <v>18.41</v>
          </cell>
          <cell r="G914">
            <v>0.18410000000000001</v>
          </cell>
          <cell r="H914">
            <v>0</v>
          </cell>
          <cell r="I914">
            <v>0.18410000000000001</v>
          </cell>
        </row>
        <row r="915">
          <cell r="A915">
            <v>0</v>
          </cell>
          <cell r="B915">
            <v>0</v>
          </cell>
          <cell r="C915" t="str">
            <v>Total 01.11.07</v>
          </cell>
          <cell r="D915">
            <v>1</v>
          </cell>
          <cell r="E915">
            <v>0</v>
          </cell>
          <cell r="F915">
            <v>0</v>
          </cell>
          <cell r="G915">
            <v>159.89720169491528</v>
          </cell>
          <cell r="H915">
            <v>25.434558305084746</v>
          </cell>
          <cell r="I915">
            <v>185.33176</v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01.11.08</v>
          </cell>
          <cell r="B917" t="str">
            <v>Partida</v>
          </cell>
          <cell r="C917" t="str">
            <v>Pintura señalización en rampa para discapacitados</v>
          </cell>
          <cell r="D917">
            <v>1</v>
          </cell>
          <cell r="E917" t="str">
            <v>m²</v>
          </cell>
          <cell r="F917">
            <v>0</v>
          </cell>
          <cell r="G917">
            <v>825</v>
          </cell>
          <cell r="H917">
            <v>0</v>
          </cell>
          <cell r="I917">
            <v>825</v>
          </cell>
        </row>
        <row r="918">
          <cell r="A918" t="str">
            <v>O151521</v>
          </cell>
          <cell r="B918" t="str">
            <v>Otros</v>
          </cell>
          <cell r="C918" t="str">
            <v>Sum./ Colocación Pintura señalización en rampa para discapacitados</v>
          </cell>
          <cell r="D918">
            <v>1</v>
          </cell>
          <cell r="E918" t="str">
            <v>m²</v>
          </cell>
          <cell r="F918">
            <v>825</v>
          </cell>
          <cell r="G918">
            <v>825</v>
          </cell>
          <cell r="H918">
            <v>0</v>
          </cell>
          <cell r="I918">
            <v>825</v>
          </cell>
        </row>
        <row r="919">
          <cell r="A919">
            <v>0</v>
          </cell>
          <cell r="B919">
            <v>0</v>
          </cell>
          <cell r="C919" t="str">
            <v>Total 01.11.08</v>
          </cell>
          <cell r="D919">
            <v>1</v>
          </cell>
          <cell r="E919">
            <v>0</v>
          </cell>
          <cell r="F919">
            <v>0</v>
          </cell>
          <cell r="G919">
            <v>825</v>
          </cell>
          <cell r="H919">
            <v>0</v>
          </cell>
          <cell r="I919">
            <v>825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01.12</v>
          </cell>
          <cell r="B922" t="str">
            <v>Capítulo</v>
          </cell>
          <cell r="C922" t="str">
            <v>TERMINACION DE TECHO:</v>
          </cell>
          <cell r="D922">
            <v>0</v>
          </cell>
          <cell r="E922" t="str">
            <v/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01.12.01</v>
          </cell>
          <cell r="B923" t="str">
            <v>Partida</v>
          </cell>
          <cell r="C923" t="str">
            <v>Fino de mezcla</v>
          </cell>
          <cell r="D923">
            <v>1</v>
          </cell>
          <cell r="E923" t="str">
            <v>m²</v>
          </cell>
          <cell r="F923">
            <v>0</v>
          </cell>
          <cell r="G923">
            <v>627.72543999999994</v>
          </cell>
          <cell r="H923">
            <v>71.369143199999982</v>
          </cell>
          <cell r="I923">
            <v>699.09458319999999</v>
          </cell>
        </row>
        <row r="924">
          <cell r="A924" t="str">
            <v>A0120</v>
          </cell>
          <cell r="B924" t="str">
            <v>Auxiliar</v>
          </cell>
          <cell r="C924" t="str">
            <v>Mezcla de Mortero 1:3</v>
          </cell>
          <cell r="D924">
            <v>8.7999999999999995E-2</v>
          </cell>
          <cell r="E924" t="str">
            <v>m³</v>
          </cell>
          <cell r="F924">
            <v>4760.5050000000001</v>
          </cell>
          <cell r="G924">
            <v>418.92444</v>
          </cell>
          <cell r="H924">
            <v>70.254043199999984</v>
          </cell>
          <cell r="I924">
            <v>489.17848319999996</v>
          </cell>
        </row>
        <row r="925">
          <cell r="A925" t="str">
            <v>P0601003</v>
          </cell>
          <cell r="B925" t="str">
            <v>Material</v>
          </cell>
          <cell r="C925" t="str">
            <v>Cemento Gris 94 lbs. Tipo Portland</v>
          </cell>
          <cell r="D925">
            <v>2.1000000000000001E-2</v>
          </cell>
          <cell r="E925" t="str">
            <v>fd</v>
          </cell>
          <cell r="F925">
            <v>295</v>
          </cell>
          <cell r="G925">
            <v>6.1950000000000003</v>
          </cell>
          <cell r="H925">
            <v>1.1151</v>
          </cell>
          <cell r="I925">
            <v>7.3101000000000003</v>
          </cell>
        </row>
        <row r="926">
          <cell r="A926" t="str">
            <v>H0335351</v>
          </cell>
          <cell r="B926" t="str">
            <v>Mano de obra</v>
          </cell>
          <cell r="C926" t="str">
            <v>M.O. Alb Fino Techo Plano e=5cm</v>
          </cell>
          <cell r="D926">
            <v>1</v>
          </cell>
          <cell r="E926" t="str">
            <v>m²</v>
          </cell>
          <cell r="F926">
            <v>150</v>
          </cell>
          <cell r="G926">
            <v>150</v>
          </cell>
          <cell r="H926">
            <v>0</v>
          </cell>
          <cell r="I926">
            <v>150</v>
          </cell>
        </row>
        <row r="927">
          <cell r="A927" t="str">
            <v>H0330331</v>
          </cell>
          <cell r="B927" t="str">
            <v>Mano de obra</v>
          </cell>
          <cell r="C927" t="str">
            <v>M.O. Subida materiales p/fino eprom=8cm</v>
          </cell>
          <cell r="D927">
            <v>1</v>
          </cell>
          <cell r="E927" t="str">
            <v>m²</v>
          </cell>
          <cell r="F927">
            <v>50.6</v>
          </cell>
          <cell r="G927">
            <v>50.6</v>
          </cell>
          <cell r="H927">
            <v>0</v>
          </cell>
          <cell r="I927">
            <v>50.6</v>
          </cell>
        </row>
        <row r="928">
          <cell r="A928" t="str">
            <v>H%FH</v>
          </cell>
          <cell r="B928" t="str">
            <v>Otros</v>
          </cell>
          <cell r="C928" t="str">
            <v>Factor Herramientas</v>
          </cell>
          <cell r="D928">
            <v>1</v>
          </cell>
          <cell r="E928" t="str">
            <v>%</v>
          </cell>
          <cell r="F928">
            <v>200.6</v>
          </cell>
          <cell r="G928">
            <v>2.0059999999999998</v>
          </cell>
          <cell r="H928">
            <v>0</v>
          </cell>
          <cell r="I928">
            <v>2.0059999999999998</v>
          </cell>
        </row>
        <row r="929">
          <cell r="A929">
            <v>0</v>
          </cell>
          <cell r="B929">
            <v>0</v>
          </cell>
          <cell r="C929" t="str">
            <v>Total 01.12.01</v>
          </cell>
          <cell r="D929">
            <v>1</v>
          </cell>
          <cell r="E929">
            <v>0</v>
          </cell>
          <cell r="F929">
            <v>0</v>
          </cell>
          <cell r="G929">
            <v>627.72543999999994</v>
          </cell>
          <cell r="H929">
            <v>71.369143199999982</v>
          </cell>
          <cell r="I929">
            <v>699.09458319999999</v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01.12.02</v>
          </cell>
          <cell r="B931" t="str">
            <v>Partida</v>
          </cell>
          <cell r="C931" t="str">
            <v>Zabaleta</v>
          </cell>
          <cell r="D931">
            <v>1</v>
          </cell>
          <cell r="E931" t="str">
            <v>m</v>
          </cell>
          <cell r="F931">
            <v>0</v>
          </cell>
          <cell r="G931">
            <v>118.602452</v>
          </cell>
          <cell r="H931">
            <v>10.440441359999999</v>
          </cell>
          <cell r="I931">
            <v>129.04289335999999</v>
          </cell>
        </row>
        <row r="932">
          <cell r="A932" t="str">
            <v>P0603001</v>
          </cell>
          <cell r="B932" t="str">
            <v>Material</v>
          </cell>
          <cell r="C932" t="str">
            <v>Cal hidratada, funda de 50 Lbs</v>
          </cell>
          <cell r="D932">
            <v>2.1299999999999999E-2</v>
          </cell>
          <cell r="E932" t="str">
            <v>fd</v>
          </cell>
          <cell r="F932">
            <v>213.4</v>
          </cell>
          <cell r="G932">
            <v>4.54542</v>
          </cell>
          <cell r="H932">
            <v>0.8181756</v>
          </cell>
          <cell r="I932">
            <v>5.3635956</v>
          </cell>
        </row>
        <row r="933">
          <cell r="A933" t="str">
            <v>P0601003</v>
          </cell>
          <cell r="B933" t="str">
            <v>Material</v>
          </cell>
          <cell r="C933" t="str">
            <v>Cemento Gris 94 lbs. Tipo Portland</v>
          </cell>
          <cell r="D933">
            <v>0.10639999999999999</v>
          </cell>
          <cell r="E933" t="str">
            <v>fd</v>
          </cell>
          <cell r="F933">
            <v>295</v>
          </cell>
          <cell r="G933">
            <v>31.387999999999998</v>
          </cell>
          <cell r="H933">
            <v>5.6498399999999993</v>
          </cell>
          <cell r="I933">
            <v>37.037839999999996</v>
          </cell>
        </row>
        <row r="934">
          <cell r="A934" t="str">
            <v>P0201008</v>
          </cell>
          <cell r="B934" t="str">
            <v>Material</v>
          </cell>
          <cell r="C934" t="str">
            <v>Arena Itabo Lavada</v>
          </cell>
          <cell r="D934">
            <v>1.2200000000000001E-2</v>
          </cell>
          <cell r="E934" t="str">
            <v>m³</v>
          </cell>
          <cell r="F934">
            <v>930.76</v>
          </cell>
          <cell r="G934">
            <v>11.355272000000001</v>
          </cell>
          <cell r="H934">
            <v>2.0439489600000003</v>
          </cell>
          <cell r="I934">
            <v>13.399220960000001</v>
          </cell>
        </row>
        <row r="935">
          <cell r="A935" t="str">
            <v>P2403199</v>
          </cell>
          <cell r="B935" t="str">
            <v>Material</v>
          </cell>
          <cell r="C935" t="str">
            <v>Agua</v>
          </cell>
          <cell r="D935">
            <v>0.6</v>
          </cell>
          <cell r="E935" t="str">
            <v>gl</v>
          </cell>
          <cell r="F935">
            <v>1.58</v>
          </cell>
          <cell r="G935">
            <v>0.94799999999999995</v>
          </cell>
          <cell r="H935">
            <v>0.17063999999999999</v>
          </cell>
          <cell r="I935">
            <v>1.1186399999999999</v>
          </cell>
        </row>
        <row r="936">
          <cell r="A936" t="str">
            <v>P0701003</v>
          </cell>
          <cell r="B936" t="str">
            <v>Material</v>
          </cell>
          <cell r="C936" t="str">
            <v>Regla para pañete de PATC</v>
          </cell>
          <cell r="D936">
            <v>0.16400000000000001</v>
          </cell>
          <cell r="E936" t="str">
            <v>p²</v>
          </cell>
          <cell r="F936">
            <v>55.000000000000007</v>
          </cell>
          <cell r="G936">
            <v>9.0200000000000014</v>
          </cell>
          <cell r="H936">
            <v>1.6236000000000002</v>
          </cell>
          <cell r="I936">
            <v>10.643600000000001</v>
          </cell>
        </row>
        <row r="937">
          <cell r="A937" t="str">
            <v>P0420006</v>
          </cell>
          <cell r="B937" t="str">
            <v>Material</v>
          </cell>
          <cell r="C937" t="str">
            <v>Clavo de acero de 2 1/2"</v>
          </cell>
          <cell r="D937">
            <v>1.6E-2</v>
          </cell>
          <cell r="E937" t="str">
            <v>lb</v>
          </cell>
          <cell r="F937">
            <v>46.61</v>
          </cell>
          <cell r="G937">
            <v>0.74575999999999998</v>
          </cell>
          <cell r="H937">
            <v>0.13423679999999999</v>
          </cell>
          <cell r="I937">
            <v>0.87999680000000002</v>
          </cell>
        </row>
        <row r="938">
          <cell r="A938" t="str">
            <v>H0335353</v>
          </cell>
          <cell r="B938" t="str">
            <v>Mano de obra</v>
          </cell>
          <cell r="C938" t="str">
            <v>M.O. Alb zabaleta</v>
          </cell>
          <cell r="D938">
            <v>1</v>
          </cell>
          <cell r="E938" t="str">
            <v>m</v>
          </cell>
          <cell r="F938">
            <v>60</v>
          </cell>
          <cell r="G938">
            <v>60</v>
          </cell>
          <cell r="H938">
            <v>0</v>
          </cell>
          <cell r="I938">
            <v>60</v>
          </cell>
        </row>
        <row r="939">
          <cell r="A939" t="str">
            <v>H%FH</v>
          </cell>
          <cell r="B939" t="str">
            <v>Otros</v>
          </cell>
          <cell r="C939" t="str">
            <v>Factor Herramientas</v>
          </cell>
          <cell r="D939">
            <v>1</v>
          </cell>
          <cell r="E939" t="str">
            <v>%</v>
          </cell>
          <cell r="F939">
            <v>60</v>
          </cell>
          <cell r="G939">
            <v>0.6</v>
          </cell>
          <cell r="H939">
            <v>0</v>
          </cell>
          <cell r="I939">
            <v>0.6</v>
          </cell>
        </row>
        <row r="940">
          <cell r="A940">
            <v>0</v>
          </cell>
          <cell r="B940">
            <v>0</v>
          </cell>
          <cell r="C940" t="str">
            <v>Total 01.12.02</v>
          </cell>
          <cell r="D940">
            <v>1</v>
          </cell>
          <cell r="E940">
            <v>0</v>
          </cell>
          <cell r="F940">
            <v>0</v>
          </cell>
          <cell r="G940">
            <v>118.602452</v>
          </cell>
          <cell r="H940">
            <v>10.440441359999999</v>
          </cell>
          <cell r="I940">
            <v>129.04289335999999</v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01.12.03</v>
          </cell>
          <cell r="B942" t="str">
            <v>Partida</v>
          </cell>
          <cell r="C942" t="str">
            <v>Impermeabilizante acrílico, capa elastomérica para techo polybrite 24. Siete años de garantía.</v>
          </cell>
          <cell r="D942">
            <v>1</v>
          </cell>
          <cell r="E942" t="str">
            <v>m²</v>
          </cell>
          <cell r="F942">
            <v>0</v>
          </cell>
          <cell r="G942">
            <v>59.36</v>
          </cell>
          <cell r="H942">
            <v>0</v>
          </cell>
          <cell r="I942">
            <v>59.36</v>
          </cell>
        </row>
        <row r="943">
          <cell r="A943" t="str">
            <v>O0915401</v>
          </cell>
          <cell r="B943" t="str">
            <v>Otros</v>
          </cell>
          <cell r="C943" t="str">
            <v>Sum./ Instalación Impermeabilizante PolyBrite 24</v>
          </cell>
          <cell r="D943">
            <v>0.1696</v>
          </cell>
          <cell r="E943" t="str">
            <v>m²</v>
          </cell>
          <cell r="F943">
            <v>350</v>
          </cell>
          <cell r="G943">
            <v>59.36</v>
          </cell>
          <cell r="H943">
            <v>0</v>
          </cell>
          <cell r="I943">
            <v>59.36</v>
          </cell>
        </row>
        <row r="944">
          <cell r="A944">
            <v>0</v>
          </cell>
          <cell r="B944">
            <v>0</v>
          </cell>
          <cell r="C944" t="str">
            <v>Total 01.12.03</v>
          </cell>
          <cell r="D944">
            <v>1</v>
          </cell>
          <cell r="E944">
            <v>0</v>
          </cell>
          <cell r="F944">
            <v>0</v>
          </cell>
          <cell r="G944">
            <v>59.36</v>
          </cell>
          <cell r="H944">
            <v>0</v>
          </cell>
          <cell r="I944">
            <v>59.36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01.13</v>
          </cell>
          <cell r="B948" t="str">
            <v>Capítulo</v>
          </cell>
          <cell r="C948" t="str">
            <v>ACERAS/ PAVIMENTOS:</v>
          </cell>
          <cell r="D948">
            <v>0</v>
          </cell>
          <cell r="E948" t="str">
            <v/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01.13.01</v>
          </cell>
          <cell r="B949" t="str">
            <v>Partida</v>
          </cell>
          <cell r="C949" t="str">
            <v>Acera en Hormigón frotado</v>
          </cell>
          <cell r="D949">
            <v>1</v>
          </cell>
          <cell r="E949" t="str">
            <v>m²</v>
          </cell>
          <cell r="F949">
            <v>0</v>
          </cell>
          <cell r="G949">
            <v>861.5140283333335</v>
          </cell>
          <cell r="H949">
            <v>113.46935310000002</v>
          </cell>
          <cell r="I949">
            <v>974.98338143333342</v>
          </cell>
        </row>
        <row r="950">
          <cell r="A950" t="str">
            <v>P0602008</v>
          </cell>
          <cell r="B950" t="str">
            <v>Material</v>
          </cell>
          <cell r="C950" t="str">
            <v>Hormigón Industrial H210 kg/cm2, Bombeado</v>
          </cell>
          <cell r="D950">
            <v>0.10700000000000001</v>
          </cell>
          <cell r="E950" t="str">
            <v>m³</v>
          </cell>
          <cell r="F950">
            <v>4845.76</v>
          </cell>
          <cell r="G950">
            <v>518.49632000000008</v>
          </cell>
          <cell r="H950">
            <v>93.329337600000017</v>
          </cell>
          <cell r="I950">
            <v>611.82565760000011</v>
          </cell>
        </row>
        <row r="951">
          <cell r="A951" t="str">
            <v>P0301004</v>
          </cell>
          <cell r="B951" t="str">
            <v>Material</v>
          </cell>
          <cell r="C951" t="str">
            <v>Madera Pino Amer. Bruta 1"x4"</v>
          </cell>
          <cell r="D951">
            <v>0.1056</v>
          </cell>
          <cell r="E951" t="str">
            <v>p²</v>
          </cell>
          <cell r="F951">
            <v>41</v>
          </cell>
          <cell r="G951">
            <v>4.3296000000000001</v>
          </cell>
          <cell r="H951">
            <v>0.77932800000000002</v>
          </cell>
          <cell r="I951">
            <v>5.1089280000000006</v>
          </cell>
        </row>
        <row r="952">
          <cell r="A952" t="str">
            <v>P0402002</v>
          </cell>
          <cell r="B952" t="str">
            <v>Material</v>
          </cell>
          <cell r="C952" t="str">
            <v>Acero Malla D2.3xD2.3 (150x150)  Rollo 2.5x40=3.32qq</v>
          </cell>
          <cell r="D952">
            <v>1.1000000000000001</v>
          </cell>
          <cell r="E952" t="str">
            <v>m²</v>
          </cell>
          <cell r="F952">
            <v>97.78125</v>
          </cell>
          <cell r="G952">
            <v>107.559375</v>
          </cell>
          <cell r="H952">
            <v>19.360687500000001</v>
          </cell>
          <cell r="I952">
            <v>126.9200625</v>
          </cell>
        </row>
        <row r="953">
          <cell r="A953" t="str">
            <v>H0205059</v>
          </cell>
          <cell r="B953" t="str">
            <v>Mano de obra</v>
          </cell>
          <cell r="C953" t="str">
            <v>M.O. Preparación del Terreno</v>
          </cell>
          <cell r="D953">
            <v>1</v>
          </cell>
          <cell r="E953" t="str">
            <v>m²</v>
          </cell>
          <cell r="F953">
            <v>35</v>
          </cell>
          <cell r="G953">
            <v>35</v>
          </cell>
          <cell r="H953">
            <v>0</v>
          </cell>
          <cell r="I953">
            <v>35</v>
          </cell>
        </row>
        <row r="954">
          <cell r="A954" t="str">
            <v>H0302112</v>
          </cell>
          <cell r="B954" t="str">
            <v>Mano de obra</v>
          </cell>
          <cell r="C954" t="str">
            <v>M.O. Colocación Malla Electrosoldada</v>
          </cell>
          <cell r="D954">
            <v>1</v>
          </cell>
          <cell r="E954" t="str">
            <v>m²</v>
          </cell>
          <cell r="F954">
            <v>45</v>
          </cell>
          <cell r="G954">
            <v>45</v>
          </cell>
          <cell r="H954">
            <v>0</v>
          </cell>
          <cell r="I954">
            <v>45</v>
          </cell>
        </row>
        <row r="955">
          <cell r="A955" t="str">
            <v>H0355554</v>
          </cell>
          <cell r="B955" t="str">
            <v>Mano de obra</v>
          </cell>
          <cell r="C955" t="str">
            <v>M.O. Const. Acera 10cm esp. (promed.)</v>
          </cell>
          <cell r="D955">
            <v>0.1</v>
          </cell>
          <cell r="E955" t="str">
            <v>m³</v>
          </cell>
          <cell r="F955">
            <v>1450</v>
          </cell>
          <cell r="G955">
            <v>145</v>
          </cell>
          <cell r="H955">
            <v>0</v>
          </cell>
          <cell r="I955">
            <v>145</v>
          </cell>
        </row>
        <row r="956">
          <cell r="A956" t="str">
            <v>SC800001</v>
          </cell>
          <cell r="B956" t="str">
            <v>Otros</v>
          </cell>
          <cell r="C956" t="str">
            <v>Ensayos y pruebas de laboratorio hormigón (3 Probetas x c/45m3)</v>
          </cell>
          <cell r="D956">
            <v>6.6666666666666671E-3</v>
          </cell>
          <cell r="E956" t="str">
            <v>u</v>
          </cell>
          <cell r="F956">
            <v>581.80999999999995</v>
          </cell>
          <cell r="G956">
            <v>3.8787333333333334</v>
          </cell>
          <cell r="H956">
            <v>0</v>
          </cell>
          <cell r="I956">
            <v>3.8787333333333334</v>
          </cell>
        </row>
        <row r="957">
          <cell r="A957" t="str">
            <v>H%FH</v>
          </cell>
          <cell r="B957" t="str">
            <v>Otros</v>
          </cell>
          <cell r="C957" t="str">
            <v>Factor Herramientas</v>
          </cell>
          <cell r="D957">
            <v>1</v>
          </cell>
          <cell r="E957" t="str">
            <v>%</v>
          </cell>
          <cell r="F957">
            <v>225</v>
          </cell>
          <cell r="G957">
            <v>2.25</v>
          </cell>
          <cell r="H957">
            <v>0</v>
          </cell>
          <cell r="I957">
            <v>2.25</v>
          </cell>
        </row>
        <row r="958">
          <cell r="A958">
            <v>0</v>
          </cell>
          <cell r="B958">
            <v>0</v>
          </cell>
          <cell r="C958" t="str">
            <v>Total 01.13.01</v>
          </cell>
          <cell r="D958">
            <v>1</v>
          </cell>
          <cell r="E958">
            <v>0</v>
          </cell>
          <cell r="F958">
            <v>0</v>
          </cell>
          <cell r="G958">
            <v>861.5140283333335</v>
          </cell>
          <cell r="H958">
            <v>113.46935310000002</v>
          </cell>
          <cell r="I958">
            <v>974.98338143333342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01.13.02</v>
          </cell>
          <cell r="B960" t="str">
            <v>Partida</v>
          </cell>
          <cell r="C960" t="str">
            <v>Aceras exteriores. Piso hormigón rayado con color.</v>
          </cell>
          <cell r="D960">
            <v>1</v>
          </cell>
          <cell r="E960" t="str">
            <v>m²</v>
          </cell>
          <cell r="F960">
            <v>0</v>
          </cell>
          <cell r="G960">
            <v>876.66402833333348</v>
          </cell>
          <cell r="H960">
            <v>113.46935310000002</v>
          </cell>
          <cell r="I960">
            <v>990.1333814333334</v>
          </cell>
        </row>
        <row r="961">
          <cell r="A961" t="str">
            <v>P0602008</v>
          </cell>
          <cell r="B961" t="str">
            <v>Material</v>
          </cell>
          <cell r="C961" t="str">
            <v>Hormigón Industrial H210 kg/cm2, Bombeado</v>
          </cell>
          <cell r="D961">
            <v>0.10700000000000001</v>
          </cell>
          <cell r="E961" t="str">
            <v>m³</v>
          </cell>
          <cell r="F961">
            <v>4845.76</v>
          </cell>
          <cell r="G961">
            <v>518.49632000000008</v>
          </cell>
          <cell r="H961">
            <v>93.329337600000017</v>
          </cell>
          <cell r="I961">
            <v>611.82565760000011</v>
          </cell>
        </row>
        <row r="962">
          <cell r="A962" t="str">
            <v>P0301004</v>
          </cell>
          <cell r="B962" t="str">
            <v>Material</v>
          </cell>
          <cell r="C962" t="str">
            <v>Madera Pino Amer. Bruta 1"x4"</v>
          </cell>
          <cell r="D962">
            <v>0.1056</v>
          </cell>
          <cell r="E962" t="str">
            <v>p²</v>
          </cell>
          <cell r="F962">
            <v>41</v>
          </cell>
          <cell r="G962">
            <v>4.3296000000000001</v>
          </cell>
          <cell r="H962">
            <v>0.77932800000000002</v>
          </cell>
          <cell r="I962">
            <v>5.1089280000000006</v>
          </cell>
        </row>
        <row r="963">
          <cell r="A963" t="str">
            <v>P0402002</v>
          </cell>
          <cell r="B963" t="str">
            <v>Material</v>
          </cell>
          <cell r="C963" t="str">
            <v>Acero Malla D2.3xD2.3 (150x150)  Rollo 2.5x40=3.32qq</v>
          </cell>
          <cell r="D963">
            <v>1.1000000000000001</v>
          </cell>
          <cell r="E963" t="str">
            <v>m²</v>
          </cell>
          <cell r="F963">
            <v>97.78125</v>
          </cell>
          <cell r="G963">
            <v>107.559375</v>
          </cell>
          <cell r="H963">
            <v>19.360687500000001</v>
          </cell>
          <cell r="I963">
            <v>126.9200625</v>
          </cell>
        </row>
        <row r="964">
          <cell r="A964" t="str">
            <v>H0205059</v>
          </cell>
          <cell r="B964" t="str">
            <v>Mano de obra</v>
          </cell>
          <cell r="C964" t="str">
            <v>M.O. Preparación del Terreno</v>
          </cell>
          <cell r="D964">
            <v>1</v>
          </cell>
          <cell r="E964" t="str">
            <v>m²</v>
          </cell>
          <cell r="F964">
            <v>35</v>
          </cell>
          <cell r="G964">
            <v>35</v>
          </cell>
          <cell r="H964">
            <v>0</v>
          </cell>
          <cell r="I964">
            <v>35</v>
          </cell>
        </row>
        <row r="965">
          <cell r="A965" t="str">
            <v>H0302112</v>
          </cell>
          <cell r="B965" t="str">
            <v>Mano de obra</v>
          </cell>
          <cell r="C965" t="str">
            <v>M.O. Colocación Malla Electrosoldada</v>
          </cell>
          <cell r="D965">
            <v>1</v>
          </cell>
          <cell r="E965" t="str">
            <v>m²</v>
          </cell>
          <cell r="F965">
            <v>45</v>
          </cell>
          <cell r="G965">
            <v>45</v>
          </cell>
          <cell r="H965">
            <v>0</v>
          </cell>
          <cell r="I965">
            <v>45</v>
          </cell>
        </row>
        <row r="966">
          <cell r="A966" t="str">
            <v>H0355555</v>
          </cell>
          <cell r="B966" t="str">
            <v>Mano de obra</v>
          </cell>
          <cell r="C966" t="str">
            <v>M.O. Const. Acera c/Color 10cm esp. (promed.)</v>
          </cell>
          <cell r="D966">
            <v>0.1</v>
          </cell>
          <cell r="E966" t="str">
            <v>m³</v>
          </cell>
          <cell r="F966">
            <v>1600</v>
          </cell>
          <cell r="G966">
            <v>160</v>
          </cell>
          <cell r="H966">
            <v>0</v>
          </cell>
          <cell r="I966">
            <v>160</v>
          </cell>
        </row>
        <row r="967">
          <cell r="A967" t="str">
            <v>SC800001</v>
          </cell>
          <cell r="B967" t="str">
            <v>Otros</v>
          </cell>
          <cell r="C967" t="str">
            <v>Ensayos y pruebas de laboratorio hormigón (3 Probetas x c/45m3)</v>
          </cell>
          <cell r="D967">
            <v>6.6666666666666671E-3</v>
          </cell>
          <cell r="E967" t="str">
            <v>u</v>
          </cell>
          <cell r="F967">
            <v>581.80999999999995</v>
          </cell>
          <cell r="G967">
            <v>3.8787333333333334</v>
          </cell>
          <cell r="H967">
            <v>0</v>
          </cell>
          <cell r="I967">
            <v>3.8787333333333334</v>
          </cell>
        </row>
        <row r="968">
          <cell r="A968" t="str">
            <v>H%FH</v>
          </cell>
          <cell r="B968" t="str">
            <v>Otros</v>
          </cell>
          <cell r="C968" t="str">
            <v>Factor Herramientas</v>
          </cell>
          <cell r="D968">
            <v>1</v>
          </cell>
          <cell r="E968" t="str">
            <v>%</v>
          </cell>
          <cell r="F968">
            <v>240</v>
          </cell>
          <cell r="G968">
            <v>2.4</v>
          </cell>
          <cell r="H968">
            <v>0</v>
          </cell>
          <cell r="I968">
            <v>2.4</v>
          </cell>
        </row>
        <row r="969">
          <cell r="A969">
            <v>0</v>
          </cell>
          <cell r="B969">
            <v>0</v>
          </cell>
          <cell r="C969" t="str">
            <v>Total 01.13.02</v>
          </cell>
          <cell r="D969">
            <v>1</v>
          </cell>
          <cell r="E969">
            <v>0</v>
          </cell>
          <cell r="F969">
            <v>0</v>
          </cell>
          <cell r="G969">
            <v>876.66402833333348</v>
          </cell>
          <cell r="H969">
            <v>113.46935310000002</v>
          </cell>
          <cell r="I969">
            <v>990.1333814333334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01.13.03</v>
          </cell>
          <cell r="B971" t="str">
            <v>Partida</v>
          </cell>
          <cell r="C971" t="str">
            <v>Carpeta en Hormrigón hidraulico con microfibras, e= 0.14 mts</v>
          </cell>
          <cell r="D971">
            <v>1</v>
          </cell>
          <cell r="E971" t="str">
            <v>m³</v>
          </cell>
          <cell r="F971">
            <v>0</v>
          </cell>
          <cell r="G971">
            <v>9730.741173333332</v>
          </cell>
          <cell r="H971">
            <v>1503.1202004000002</v>
          </cell>
          <cell r="I971">
            <v>11233.861373733333</v>
          </cell>
        </row>
        <row r="972">
          <cell r="A972" t="str">
            <v>P0602009</v>
          </cell>
          <cell r="B972" t="str">
            <v>Material</v>
          </cell>
          <cell r="C972" t="str">
            <v>Hormigón Industrial H240 kg/cm2, Bombeado</v>
          </cell>
          <cell r="D972">
            <v>1.07</v>
          </cell>
          <cell r="E972" t="str">
            <v>m³</v>
          </cell>
          <cell r="F972">
            <v>5050</v>
          </cell>
          <cell r="G972">
            <v>5403.5</v>
          </cell>
          <cell r="H972">
            <v>972.63</v>
          </cell>
          <cell r="I972">
            <v>6376.13</v>
          </cell>
        </row>
        <row r="973">
          <cell r="A973" t="str">
            <v>P0602010</v>
          </cell>
          <cell r="B973" t="str">
            <v>Material</v>
          </cell>
          <cell r="C973" t="str">
            <v>Fibra forta ferro 2 1/4" (fdas de 1 Kg)</v>
          </cell>
          <cell r="D973">
            <v>4.4000000000000004</v>
          </cell>
          <cell r="E973" t="str">
            <v>lbs</v>
          </cell>
          <cell r="F973">
            <v>215.52</v>
          </cell>
          <cell r="G973">
            <v>948.28800000000012</v>
          </cell>
          <cell r="H973">
            <v>170.69184000000001</v>
          </cell>
          <cell r="I973">
            <v>1118.9798400000002</v>
          </cell>
        </row>
        <row r="974">
          <cell r="A974" t="str">
            <v>P0608013</v>
          </cell>
          <cell r="B974" t="str">
            <v>Material</v>
          </cell>
          <cell r="C974" t="str">
            <v>Supracure (Sellador de superficies) 1x55</v>
          </cell>
          <cell r="D974">
            <v>0.83299999999999996</v>
          </cell>
          <cell r="E974" t="str">
            <v>gl</v>
          </cell>
          <cell r="F974">
            <v>810.66</v>
          </cell>
          <cell r="G974">
            <v>675.27977999999996</v>
          </cell>
          <cell r="H974">
            <v>121.55036039999999</v>
          </cell>
          <cell r="I974">
            <v>796.83014039999989</v>
          </cell>
        </row>
        <row r="975">
          <cell r="A975" t="str">
            <v>P0602013</v>
          </cell>
          <cell r="B975" t="str">
            <v>Material</v>
          </cell>
          <cell r="C975" t="str">
            <v>Sellado de juntas y aplicacion</v>
          </cell>
          <cell r="D975">
            <v>8</v>
          </cell>
          <cell r="E975" t="str">
            <v>m</v>
          </cell>
          <cell r="F975">
            <v>165.45</v>
          </cell>
          <cell r="G975">
            <v>1323.6</v>
          </cell>
          <cell r="H975">
            <v>238.24799999999996</v>
          </cell>
          <cell r="I975">
            <v>1561.848</v>
          </cell>
        </row>
        <row r="976">
          <cell r="A976" t="str">
            <v>H0812011</v>
          </cell>
          <cell r="B976" t="str">
            <v>Mano de obra</v>
          </cell>
          <cell r="C976" t="str">
            <v>M.O. Sellador de superficie (TC)</v>
          </cell>
          <cell r="D976">
            <v>7.1429</v>
          </cell>
          <cell r="E976" t="str">
            <v>m²</v>
          </cell>
          <cell r="F976">
            <v>20</v>
          </cell>
          <cell r="G976">
            <v>142.858</v>
          </cell>
          <cell r="H976">
            <v>0</v>
          </cell>
          <cell r="I976">
            <v>142.858</v>
          </cell>
        </row>
        <row r="977">
          <cell r="A977" t="str">
            <v>H0812012</v>
          </cell>
          <cell r="B977" t="str">
            <v>Mano de obra</v>
          </cell>
          <cell r="C977" t="str">
            <v>M.O. Enguarderado de vias</v>
          </cell>
          <cell r="D977">
            <v>4.16</v>
          </cell>
          <cell r="E977" t="str">
            <v>m</v>
          </cell>
          <cell r="F977">
            <v>50</v>
          </cell>
          <cell r="G977">
            <v>208</v>
          </cell>
          <cell r="H977">
            <v>0</v>
          </cell>
          <cell r="I977">
            <v>208</v>
          </cell>
        </row>
        <row r="978">
          <cell r="A978" t="str">
            <v>H0812013</v>
          </cell>
          <cell r="B978" t="str">
            <v>Mano de obra</v>
          </cell>
          <cell r="C978" t="str">
            <v>M.O. Terminacion de superficie y corte de juntas</v>
          </cell>
          <cell r="D978">
            <v>7.1429</v>
          </cell>
          <cell r="E978" t="str">
            <v>m²</v>
          </cell>
          <cell r="F978">
            <v>120</v>
          </cell>
          <cell r="G978">
            <v>857.14800000000002</v>
          </cell>
          <cell r="H978">
            <v>0</v>
          </cell>
          <cell r="I978">
            <v>857.14800000000002</v>
          </cell>
        </row>
        <row r="979">
          <cell r="A979" t="str">
            <v>H0812014</v>
          </cell>
          <cell r="B979" t="str">
            <v>Mano de obra</v>
          </cell>
          <cell r="C979" t="str">
            <v>M.O. Sellado de juntas y aplicacion</v>
          </cell>
          <cell r="D979">
            <v>8</v>
          </cell>
          <cell r="E979" t="str">
            <v>m</v>
          </cell>
          <cell r="F979">
            <v>15</v>
          </cell>
          <cell r="G979">
            <v>120</v>
          </cell>
          <cell r="H979">
            <v>0</v>
          </cell>
          <cell r="I979">
            <v>120</v>
          </cell>
        </row>
        <row r="980">
          <cell r="A980" t="str">
            <v>SC800001</v>
          </cell>
          <cell r="B980" t="str">
            <v>Otros</v>
          </cell>
          <cell r="C980" t="str">
            <v>Ensayos y pruebas de laboratorio hormigón (3 Probetas x c/45m3)</v>
          </cell>
          <cell r="D980">
            <v>6.6666666666666666E-2</v>
          </cell>
          <cell r="E980" t="str">
            <v>u</v>
          </cell>
          <cell r="F980">
            <v>581.80999999999995</v>
          </cell>
          <cell r="G980">
            <v>38.787333333333329</v>
          </cell>
          <cell r="H980">
            <v>0</v>
          </cell>
          <cell r="I980">
            <v>38.787333333333329</v>
          </cell>
        </row>
        <row r="981">
          <cell r="A981" t="str">
            <v>H%FH</v>
          </cell>
          <cell r="B981" t="str">
            <v>Otros</v>
          </cell>
          <cell r="C981" t="str">
            <v>Factor Herramientas</v>
          </cell>
          <cell r="D981">
            <v>1</v>
          </cell>
          <cell r="E981" t="str">
            <v>%</v>
          </cell>
          <cell r="F981">
            <v>1328.0060000000001</v>
          </cell>
          <cell r="G981">
            <v>13.280060000000001</v>
          </cell>
          <cell r="H981">
            <v>0</v>
          </cell>
          <cell r="I981">
            <v>13.280060000000001</v>
          </cell>
        </row>
        <row r="982">
          <cell r="A982">
            <v>0</v>
          </cell>
          <cell r="B982">
            <v>0</v>
          </cell>
          <cell r="C982" t="str">
            <v>Total 01.13.03</v>
          </cell>
          <cell r="D982">
            <v>1</v>
          </cell>
          <cell r="E982">
            <v>0</v>
          </cell>
          <cell r="F982">
            <v>0</v>
          </cell>
          <cell r="G982">
            <v>9730.741173333332</v>
          </cell>
          <cell r="H982">
            <v>1503.1202004000002</v>
          </cell>
          <cell r="I982">
            <v>11233.861373733333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01.13.04</v>
          </cell>
          <cell r="B984" t="str">
            <v>Partida</v>
          </cell>
          <cell r="C984" t="str">
            <v>Torta de hormigón de base e=0.10mt con fIbra según especificaciones tecnicas</v>
          </cell>
          <cell r="D984">
            <v>1</v>
          </cell>
          <cell r="E984" t="str">
            <v>m³</v>
          </cell>
          <cell r="F984">
            <v>0</v>
          </cell>
          <cell r="G984">
            <v>8366.0786833333332</v>
          </cell>
          <cell r="H984">
            <v>1150.1764109999999</v>
          </cell>
          <cell r="I984">
            <v>9516.2550943333335</v>
          </cell>
        </row>
        <row r="985">
          <cell r="A985" t="str">
            <v>P0602008</v>
          </cell>
          <cell r="B985" t="str">
            <v>Material</v>
          </cell>
          <cell r="C985" t="str">
            <v>Hormigón Industrial H210 kg/cm2, Bombeado</v>
          </cell>
          <cell r="D985">
            <v>1.07</v>
          </cell>
          <cell r="E985" t="str">
            <v>m³</v>
          </cell>
          <cell r="F985">
            <v>4845.76</v>
          </cell>
          <cell r="G985">
            <v>5184.9632000000001</v>
          </cell>
          <cell r="H985">
            <v>933.29337599999997</v>
          </cell>
          <cell r="I985">
            <v>6118.2565759999998</v>
          </cell>
        </row>
        <row r="986">
          <cell r="A986" t="str">
            <v>P0190101</v>
          </cell>
          <cell r="B986" t="str">
            <v>Material</v>
          </cell>
          <cell r="C986" t="str">
            <v>FiberMesh Vinaldom Polipropileno 1 1/2" (2Lb/m³)</v>
          </cell>
          <cell r="D986">
            <v>0.6</v>
          </cell>
          <cell r="E986" t="str">
            <v>lb</v>
          </cell>
          <cell r="F986">
            <v>215.52</v>
          </cell>
          <cell r="G986">
            <v>129.31200000000001</v>
          </cell>
          <cell r="H986">
            <v>23.276160000000001</v>
          </cell>
          <cell r="I986">
            <v>152.58816000000002</v>
          </cell>
        </row>
        <row r="987">
          <cell r="A987" t="str">
            <v>P0402002</v>
          </cell>
          <cell r="B987" t="str">
            <v>Material</v>
          </cell>
          <cell r="C987" t="str">
            <v>Acero Malla D2.3xD2.3 (150x150)  Rollo 2.5x40=3.32qq</v>
          </cell>
          <cell r="D987">
            <v>11</v>
          </cell>
          <cell r="E987" t="str">
            <v>m²</v>
          </cell>
          <cell r="F987">
            <v>97.78125</v>
          </cell>
          <cell r="G987">
            <v>1075.59375</v>
          </cell>
          <cell r="H987">
            <v>193.606875</v>
          </cell>
          <cell r="I987">
            <v>1269.2006249999999</v>
          </cell>
        </row>
        <row r="988">
          <cell r="A988" t="str">
            <v>H0205059</v>
          </cell>
          <cell r="B988" t="str">
            <v>Mano de obra</v>
          </cell>
          <cell r="C988" t="str">
            <v>M.O. Preparación del Terreno</v>
          </cell>
          <cell r="D988">
            <v>10</v>
          </cell>
          <cell r="E988" t="str">
            <v>m²</v>
          </cell>
          <cell r="F988">
            <v>35</v>
          </cell>
          <cell r="G988">
            <v>350</v>
          </cell>
          <cell r="H988">
            <v>0</v>
          </cell>
          <cell r="I988">
            <v>350</v>
          </cell>
        </row>
        <row r="989">
          <cell r="A989" t="str">
            <v>H0510111</v>
          </cell>
          <cell r="B989" t="str">
            <v>Mano de obra</v>
          </cell>
          <cell r="C989" t="str">
            <v>M.O. Enc. Y Desc. Guardera Platea h=10 cm ( T.C )</v>
          </cell>
          <cell r="D989">
            <v>1.4019999999999999</v>
          </cell>
          <cell r="E989" t="str">
            <v>m</v>
          </cell>
          <cell r="F989">
            <v>120</v>
          </cell>
          <cell r="G989">
            <v>168.23999999999998</v>
          </cell>
          <cell r="H989">
            <v>0</v>
          </cell>
          <cell r="I989">
            <v>168.23999999999998</v>
          </cell>
        </row>
        <row r="990">
          <cell r="A990" t="str">
            <v>H0302112</v>
          </cell>
          <cell r="B990" t="str">
            <v>Mano de obra</v>
          </cell>
          <cell r="C990" t="str">
            <v>M.O. Colocación Malla Electrosoldada</v>
          </cell>
          <cell r="D990">
            <v>10</v>
          </cell>
          <cell r="E990" t="str">
            <v>m²</v>
          </cell>
          <cell r="F990">
            <v>45</v>
          </cell>
          <cell r="G990">
            <v>450</v>
          </cell>
          <cell r="H990">
            <v>0</v>
          </cell>
          <cell r="I990">
            <v>450</v>
          </cell>
        </row>
        <row r="991">
          <cell r="A991" t="str">
            <v>H0340581</v>
          </cell>
          <cell r="B991" t="str">
            <v>Mano de obra</v>
          </cell>
          <cell r="C991" t="str">
            <v>M.O. Construcción Torta de Piso</v>
          </cell>
          <cell r="D991">
            <v>10</v>
          </cell>
          <cell r="E991" t="str">
            <v>m²</v>
          </cell>
          <cell r="F991">
            <v>95</v>
          </cell>
          <cell r="G991">
            <v>950</v>
          </cell>
          <cell r="H991">
            <v>0</v>
          </cell>
          <cell r="I991">
            <v>950</v>
          </cell>
        </row>
        <row r="992">
          <cell r="A992" t="str">
            <v>SC800001</v>
          </cell>
          <cell r="B992" t="str">
            <v>Otros</v>
          </cell>
          <cell r="C992" t="str">
            <v>Ensayos y pruebas de laboratorio hormigón (3 Probetas x c/45m3)</v>
          </cell>
          <cell r="D992">
            <v>6.6666666666666666E-2</v>
          </cell>
          <cell r="E992" t="str">
            <v>u</v>
          </cell>
          <cell r="F992">
            <v>581.80999999999995</v>
          </cell>
          <cell r="G992">
            <v>38.787333333333329</v>
          </cell>
          <cell r="H992">
            <v>0</v>
          </cell>
          <cell r="I992">
            <v>38.787333333333329</v>
          </cell>
        </row>
        <row r="993">
          <cell r="A993" t="str">
            <v>H%FH</v>
          </cell>
          <cell r="B993" t="str">
            <v>Otros</v>
          </cell>
          <cell r="C993" t="str">
            <v>Factor Herramientas</v>
          </cell>
          <cell r="D993">
            <v>1</v>
          </cell>
          <cell r="E993" t="str">
            <v>%</v>
          </cell>
          <cell r="F993">
            <v>1918.24</v>
          </cell>
          <cell r="G993">
            <v>19.182400000000001</v>
          </cell>
          <cell r="H993">
            <v>0</v>
          </cell>
          <cell r="I993">
            <v>19.182400000000001</v>
          </cell>
        </row>
        <row r="994">
          <cell r="A994">
            <v>0</v>
          </cell>
          <cell r="B994">
            <v>0</v>
          </cell>
          <cell r="C994" t="str">
            <v>Total 01.13.04</v>
          </cell>
          <cell r="D994">
            <v>1</v>
          </cell>
          <cell r="E994">
            <v>0</v>
          </cell>
          <cell r="F994">
            <v>0</v>
          </cell>
          <cell r="G994">
            <v>8366.0786833333332</v>
          </cell>
          <cell r="H994">
            <v>1150.1764109999999</v>
          </cell>
          <cell r="I994">
            <v>9516.2550943333335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01.13.05</v>
          </cell>
          <cell r="B996" t="str">
            <v>Partida</v>
          </cell>
          <cell r="C996" t="str">
            <v>Torta de hormigón de base e=0.15mt</v>
          </cell>
          <cell r="D996">
            <v>1</v>
          </cell>
          <cell r="E996" t="str">
            <v>m³</v>
          </cell>
          <cell r="F996">
            <v>0</v>
          </cell>
          <cell r="G996">
            <v>7362.0598</v>
          </cell>
          <cell r="H996">
            <v>1085.6407859999999</v>
          </cell>
          <cell r="I996">
            <v>8447.7005860000008</v>
          </cell>
        </row>
        <row r="997">
          <cell r="A997" t="str">
            <v>P0602008</v>
          </cell>
          <cell r="B997" t="str">
            <v>Material</v>
          </cell>
          <cell r="C997" t="str">
            <v>Hormigón Industrial H210 kg/cm2, Bombeado</v>
          </cell>
          <cell r="D997">
            <v>1.07</v>
          </cell>
          <cell r="E997" t="str">
            <v>m³</v>
          </cell>
          <cell r="F997">
            <v>4845.76</v>
          </cell>
          <cell r="G997">
            <v>5184.9632000000001</v>
          </cell>
          <cell r="H997">
            <v>933.29337599999997</v>
          </cell>
          <cell r="I997">
            <v>6118.2565759999998</v>
          </cell>
        </row>
        <row r="998">
          <cell r="A998" t="str">
            <v>P0190101</v>
          </cell>
          <cell r="B998" t="str">
            <v>Material</v>
          </cell>
          <cell r="C998" t="str">
            <v>FiberMesh Vinaldom Polipropileno 1 1/2" (2Lb/m³)</v>
          </cell>
          <cell r="D998">
            <v>0.6</v>
          </cell>
          <cell r="E998" t="str">
            <v>lb</v>
          </cell>
          <cell r="F998">
            <v>215.52</v>
          </cell>
          <cell r="G998">
            <v>129.31200000000001</v>
          </cell>
          <cell r="H998">
            <v>23.276160000000001</v>
          </cell>
          <cell r="I998">
            <v>152.58816000000002</v>
          </cell>
        </row>
        <row r="999">
          <cell r="A999" t="str">
            <v>P0402002</v>
          </cell>
          <cell r="B999" t="str">
            <v>Material</v>
          </cell>
          <cell r="C999" t="str">
            <v>Acero Malla D2.3xD2.3 (150x150)  Rollo 2.5x40=3.32qq</v>
          </cell>
          <cell r="D999">
            <v>7.3333333333333339</v>
          </cell>
          <cell r="E999" t="str">
            <v>m²</v>
          </cell>
          <cell r="F999">
            <v>97.78125</v>
          </cell>
          <cell r="G999">
            <v>717.06250000000011</v>
          </cell>
          <cell r="H999">
            <v>129.07125000000002</v>
          </cell>
          <cell r="I999">
            <v>846.13375000000019</v>
          </cell>
        </row>
        <row r="1000">
          <cell r="A1000" t="str">
            <v>H0205059</v>
          </cell>
          <cell r="B1000" t="str">
            <v>Mano de obra</v>
          </cell>
          <cell r="C1000" t="str">
            <v>M.O. Preparación del Terreno</v>
          </cell>
          <cell r="D1000">
            <v>6.666666666666667</v>
          </cell>
          <cell r="E1000" t="str">
            <v>m²</v>
          </cell>
          <cell r="F1000">
            <v>35</v>
          </cell>
          <cell r="G1000">
            <v>233.33333333333334</v>
          </cell>
          <cell r="H1000">
            <v>0</v>
          </cell>
          <cell r="I1000">
            <v>233.33333333333334</v>
          </cell>
        </row>
        <row r="1001">
          <cell r="A1001" t="str">
            <v>H0510111</v>
          </cell>
          <cell r="B1001" t="str">
            <v>Mano de obra</v>
          </cell>
          <cell r="C1001" t="str">
            <v>M.O. Enc. Y Desc. Guardera Platea h=10 cm ( T.C )</v>
          </cell>
          <cell r="D1001">
            <v>0.93466666666666665</v>
          </cell>
          <cell r="E1001" t="str">
            <v>m</v>
          </cell>
          <cell r="F1001">
            <v>120</v>
          </cell>
          <cell r="G1001">
            <v>112.16</v>
          </cell>
          <cell r="H1001">
            <v>0</v>
          </cell>
          <cell r="I1001">
            <v>112.16</v>
          </cell>
        </row>
        <row r="1002">
          <cell r="A1002" t="str">
            <v>H0302112</v>
          </cell>
          <cell r="B1002" t="str">
            <v>Mano de obra</v>
          </cell>
          <cell r="C1002" t="str">
            <v>M.O. Colocación Malla Electrosoldada</v>
          </cell>
          <cell r="D1002">
            <v>6.666666666666667</v>
          </cell>
          <cell r="E1002" t="str">
            <v>m²</v>
          </cell>
          <cell r="F1002">
            <v>45</v>
          </cell>
          <cell r="G1002">
            <v>300</v>
          </cell>
          <cell r="H1002">
            <v>0</v>
          </cell>
          <cell r="I1002">
            <v>300</v>
          </cell>
        </row>
        <row r="1003">
          <cell r="A1003" t="str">
            <v>H0340581</v>
          </cell>
          <cell r="B1003" t="str">
            <v>Mano de obra</v>
          </cell>
          <cell r="C1003" t="str">
            <v>M.O. Construcción Torta de Piso</v>
          </cell>
          <cell r="D1003">
            <v>6.67</v>
          </cell>
          <cell r="E1003" t="str">
            <v>m²</v>
          </cell>
          <cell r="F1003">
            <v>95</v>
          </cell>
          <cell r="G1003">
            <v>633.65</v>
          </cell>
          <cell r="H1003">
            <v>0</v>
          </cell>
          <cell r="I1003">
            <v>633.65</v>
          </cell>
        </row>
        <row r="1004">
          <cell r="A1004" t="str">
            <v>SC800001</v>
          </cell>
          <cell r="B1004" t="str">
            <v>Otros</v>
          </cell>
          <cell r="C1004" t="str">
            <v>Ensayos y pruebas de laboratorio hormigón (3 Probetas x c/45m3)</v>
          </cell>
          <cell r="D1004">
            <v>6.6666666666666666E-2</v>
          </cell>
          <cell r="E1004" t="str">
            <v>u</v>
          </cell>
          <cell r="F1004">
            <v>581.80999999999995</v>
          </cell>
          <cell r="G1004">
            <v>38.787333333333329</v>
          </cell>
          <cell r="H1004">
            <v>0</v>
          </cell>
          <cell r="I1004">
            <v>38.787333333333329</v>
          </cell>
        </row>
        <row r="1005">
          <cell r="A1005" t="str">
            <v>H%FH</v>
          </cell>
          <cell r="B1005" t="str">
            <v>Otros</v>
          </cell>
          <cell r="C1005" t="str">
            <v>Factor Herramientas</v>
          </cell>
          <cell r="D1005">
            <v>1</v>
          </cell>
          <cell r="E1005" t="str">
            <v>%</v>
          </cell>
          <cell r="F1005">
            <v>1279.1433333333334</v>
          </cell>
          <cell r="G1005">
            <v>12.791433333333334</v>
          </cell>
          <cell r="H1005">
            <v>0</v>
          </cell>
          <cell r="I1005">
            <v>12.791433333333334</v>
          </cell>
        </row>
        <row r="1006">
          <cell r="A1006">
            <v>0</v>
          </cell>
          <cell r="B1006">
            <v>0</v>
          </cell>
          <cell r="C1006" t="str">
            <v>Total 01.13.05</v>
          </cell>
          <cell r="D1006">
            <v>1</v>
          </cell>
          <cell r="E1006">
            <v>0</v>
          </cell>
          <cell r="F1006">
            <v>0</v>
          </cell>
          <cell r="G1006">
            <v>7362.0598</v>
          </cell>
          <cell r="H1006">
            <v>1085.6407859999999</v>
          </cell>
          <cell r="I1006">
            <v>8447.7005860000008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01.13.06</v>
          </cell>
          <cell r="B1008" t="str">
            <v>Partida</v>
          </cell>
          <cell r="C1008" t="str">
            <v>Torta de Hormigón fc=210 k/cm2 Ø⅜@0.25, Frotado para planta de emergencia, e=0.10 mts, no incluye la base de la planta.</v>
          </cell>
          <cell r="D1008">
            <v>1</v>
          </cell>
          <cell r="E1008" t="str">
            <v>m²</v>
          </cell>
          <cell r="F1008">
            <v>0</v>
          </cell>
          <cell r="G1008">
            <v>1259.872181</v>
          </cell>
          <cell r="H1008">
            <v>171.64568231999999</v>
          </cell>
          <cell r="I1008">
            <v>1431.5178633200003</v>
          </cell>
        </row>
        <row r="1009">
          <cell r="A1009" t="str">
            <v>P0602008</v>
          </cell>
          <cell r="B1009" t="str">
            <v>Material</v>
          </cell>
          <cell r="C1009" t="str">
            <v>Hormigón Industrial H210 kg/cm2, Bombeado</v>
          </cell>
          <cell r="D1009">
            <v>0.10700000000000001</v>
          </cell>
          <cell r="E1009" t="str">
            <v>m³</v>
          </cell>
          <cell r="F1009">
            <v>4845.76</v>
          </cell>
          <cell r="G1009">
            <v>518.49632000000008</v>
          </cell>
          <cell r="H1009">
            <v>93.329337600000017</v>
          </cell>
          <cell r="I1009">
            <v>611.82565760000011</v>
          </cell>
        </row>
        <row r="1010">
          <cell r="A1010" t="str">
            <v>P0401066</v>
          </cell>
          <cell r="B1010" t="str">
            <v>Material</v>
          </cell>
          <cell r="C1010" t="str">
            <v>Acero G-60, Long. Variable</v>
          </cell>
          <cell r="D1010">
            <v>0.18210000000000001</v>
          </cell>
          <cell r="E1010" t="str">
            <v>qq</v>
          </cell>
          <cell r="F1010">
            <v>2285</v>
          </cell>
          <cell r="G1010">
            <v>416.0985</v>
          </cell>
          <cell r="H1010">
            <v>74.897729999999996</v>
          </cell>
          <cell r="I1010">
            <v>490.99622999999997</v>
          </cell>
        </row>
        <row r="1011">
          <cell r="A1011" t="str">
            <v>P0418006</v>
          </cell>
          <cell r="B1011" t="str">
            <v>Material</v>
          </cell>
          <cell r="C1011" t="str">
            <v>Alambre galvanizado liso #18</v>
          </cell>
          <cell r="D1011">
            <v>0.3468</v>
          </cell>
          <cell r="E1011" t="str">
            <v>lb</v>
          </cell>
          <cell r="F1011">
            <v>42.28</v>
          </cell>
          <cell r="G1011">
            <v>14.662704</v>
          </cell>
          <cell r="H1011">
            <v>2.6392867199999999</v>
          </cell>
          <cell r="I1011">
            <v>17.301990719999999</v>
          </cell>
        </row>
        <row r="1012">
          <cell r="A1012" t="str">
            <v>P0301004</v>
          </cell>
          <cell r="B1012" t="str">
            <v>Material</v>
          </cell>
          <cell r="C1012" t="str">
            <v>Madera Pino Amer. Bruta 1"x4"</v>
          </cell>
          <cell r="D1012">
            <v>0.1056</v>
          </cell>
          <cell r="E1012" t="str">
            <v>p²</v>
          </cell>
          <cell r="F1012">
            <v>41</v>
          </cell>
          <cell r="G1012">
            <v>4.3296000000000001</v>
          </cell>
          <cell r="H1012">
            <v>0.77932800000000002</v>
          </cell>
          <cell r="I1012">
            <v>5.1089280000000006</v>
          </cell>
        </row>
        <row r="1013">
          <cell r="A1013" t="str">
            <v>H0205059</v>
          </cell>
          <cell r="B1013" t="str">
            <v>Mano de obra</v>
          </cell>
          <cell r="C1013" t="str">
            <v>M.O. Preparación del Terreno</v>
          </cell>
          <cell r="D1013">
            <v>1</v>
          </cell>
          <cell r="E1013" t="str">
            <v>m²</v>
          </cell>
          <cell r="F1013">
            <v>35</v>
          </cell>
          <cell r="G1013">
            <v>35</v>
          </cell>
          <cell r="H1013">
            <v>0</v>
          </cell>
          <cell r="I1013">
            <v>35</v>
          </cell>
        </row>
        <row r="1014">
          <cell r="A1014" t="str">
            <v>H0510111</v>
          </cell>
          <cell r="B1014" t="str">
            <v>Mano de obra</v>
          </cell>
          <cell r="C1014" t="str">
            <v>M.O. Enc. Y Desc. Guardera Platea h=10 cm ( T.C )</v>
          </cell>
          <cell r="D1014">
            <v>1.4019999999999999</v>
          </cell>
          <cell r="E1014" t="str">
            <v>m</v>
          </cell>
          <cell r="F1014">
            <v>120</v>
          </cell>
          <cell r="G1014">
            <v>168.23999999999998</v>
          </cell>
          <cell r="H1014">
            <v>0</v>
          </cell>
          <cell r="I1014">
            <v>168.23999999999998</v>
          </cell>
        </row>
        <row r="1015">
          <cell r="A1015" t="str">
            <v>H0405056</v>
          </cell>
          <cell r="B1015" t="str">
            <v>Mano de obra</v>
          </cell>
          <cell r="C1015" t="str">
            <v>M.O. Confec. Y Coloc. De Acero En Platea</v>
          </cell>
          <cell r="D1015">
            <v>0.1734</v>
          </cell>
          <cell r="E1015" t="str">
            <v>qq</v>
          </cell>
          <cell r="F1015">
            <v>295</v>
          </cell>
          <cell r="G1015">
            <v>51.152999999999999</v>
          </cell>
          <cell r="H1015">
            <v>0</v>
          </cell>
          <cell r="I1015">
            <v>51.152999999999999</v>
          </cell>
        </row>
        <row r="1016">
          <cell r="A1016" t="str">
            <v>H0405071</v>
          </cell>
          <cell r="B1016" t="str">
            <v>Mano de obra</v>
          </cell>
          <cell r="C1016" t="str">
            <v>M.O. Confec. Y Coloc. De Calzo e7 Para Nivelación</v>
          </cell>
          <cell r="D1016">
            <v>1.8</v>
          </cell>
          <cell r="E1016" t="str">
            <v>u</v>
          </cell>
          <cell r="F1016">
            <v>25</v>
          </cell>
          <cell r="G1016">
            <v>45</v>
          </cell>
          <cell r="H1016">
            <v>0</v>
          </cell>
          <cell r="I1016">
            <v>45</v>
          </cell>
        </row>
        <row r="1017">
          <cell r="A1017" t="str">
            <v>SC800001</v>
          </cell>
          <cell r="B1017" t="str">
            <v>Otros</v>
          </cell>
          <cell r="C1017" t="str">
            <v>Ensayos y pruebas de laboratorio hormigón (3 Probetas x c/45m3)</v>
          </cell>
          <cell r="D1017">
            <v>6.7000000000000002E-3</v>
          </cell>
          <cell r="E1017" t="str">
            <v>u</v>
          </cell>
          <cell r="F1017">
            <v>581.80999999999995</v>
          </cell>
          <cell r="G1017">
            <v>3.8981269999999997</v>
          </cell>
          <cell r="H1017">
            <v>0</v>
          </cell>
          <cell r="I1017">
            <v>3.8981269999999997</v>
          </cell>
        </row>
        <row r="1018">
          <cell r="A1018" t="str">
            <v>H%FH</v>
          </cell>
          <cell r="B1018" t="str">
            <v>Otros</v>
          </cell>
          <cell r="C1018" t="str">
            <v>Factor Herramientas</v>
          </cell>
          <cell r="D1018">
            <v>1</v>
          </cell>
          <cell r="E1018" t="str">
            <v>%</v>
          </cell>
          <cell r="F1018">
            <v>299.39299999999997</v>
          </cell>
          <cell r="G1018">
            <v>2.9939299999999998</v>
          </cell>
          <cell r="H1018">
            <v>0</v>
          </cell>
          <cell r="I1018">
            <v>2.9939299999999998</v>
          </cell>
        </row>
        <row r="1019">
          <cell r="A1019">
            <v>0</v>
          </cell>
          <cell r="B1019">
            <v>0</v>
          </cell>
          <cell r="C1019" t="str">
            <v>Total 01.13.06</v>
          </cell>
          <cell r="D1019">
            <v>1</v>
          </cell>
          <cell r="E1019">
            <v>0</v>
          </cell>
          <cell r="F1019">
            <v>0</v>
          </cell>
          <cell r="G1019">
            <v>1259.872181</v>
          </cell>
          <cell r="H1019">
            <v>171.64568231999999</v>
          </cell>
          <cell r="I1019">
            <v>1431.5178633200003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01.13.07</v>
          </cell>
          <cell r="B1021" t="str">
            <v>Partida</v>
          </cell>
          <cell r="C1021" t="str">
            <v>Torta de Hormigón de base E=0.10mt Incl. Barrera Plástica de Polietileno entre torta y Relleno Granular</v>
          </cell>
          <cell r="D1021">
            <v>1</v>
          </cell>
          <cell r="E1021" t="str">
            <v>m³</v>
          </cell>
          <cell r="F1021">
            <v>0</v>
          </cell>
          <cell r="G1021">
            <v>10114.778683333334</v>
          </cell>
          <cell r="H1021">
            <v>1437.672411</v>
          </cell>
          <cell r="I1021">
            <v>11552.451094333333</v>
          </cell>
        </row>
        <row r="1022">
          <cell r="A1022" t="str">
            <v>P0602008</v>
          </cell>
          <cell r="B1022" t="str">
            <v>Material</v>
          </cell>
          <cell r="C1022" t="str">
            <v>Hormigón Industrial H210 kg/cm2, Bombeado</v>
          </cell>
          <cell r="D1022">
            <v>1.07</v>
          </cell>
          <cell r="E1022" t="str">
            <v>m³</v>
          </cell>
          <cell r="F1022">
            <v>4845.76</v>
          </cell>
          <cell r="G1022">
            <v>5184.9632000000001</v>
          </cell>
          <cell r="H1022">
            <v>933.29337599999997</v>
          </cell>
          <cell r="I1022">
            <v>6118.2565759999998</v>
          </cell>
        </row>
        <row r="1023">
          <cell r="A1023" t="str">
            <v>P0190101</v>
          </cell>
          <cell r="B1023" t="str">
            <v>Material</v>
          </cell>
          <cell r="C1023" t="str">
            <v>FiberMesh Vinaldom Polipropileno 1 1/2" (2Lb/m³)</v>
          </cell>
          <cell r="D1023">
            <v>0.6</v>
          </cell>
          <cell r="E1023" t="str">
            <v>lb</v>
          </cell>
          <cell r="F1023">
            <v>215.52</v>
          </cell>
          <cell r="G1023">
            <v>129.31200000000001</v>
          </cell>
          <cell r="H1023">
            <v>23.276160000000001</v>
          </cell>
          <cell r="I1023">
            <v>152.58816000000002</v>
          </cell>
        </row>
        <row r="1024">
          <cell r="A1024" t="str">
            <v>P0402002</v>
          </cell>
          <cell r="B1024" t="str">
            <v>Material</v>
          </cell>
          <cell r="C1024" t="str">
            <v>Acero Malla D2.3xD2.3 (150x150)  Rollo 2.5x40=3.32qq</v>
          </cell>
          <cell r="D1024">
            <v>11</v>
          </cell>
          <cell r="E1024" t="str">
            <v>m²</v>
          </cell>
          <cell r="F1024">
            <v>97.78125</v>
          </cell>
          <cell r="G1024">
            <v>1075.59375</v>
          </cell>
          <cell r="H1024">
            <v>193.606875</v>
          </cell>
          <cell r="I1024">
            <v>1269.2006249999999</v>
          </cell>
        </row>
        <row r="1025">
          <cell r="A1025" t="str">
            <v>P1402005</v>
          </cell>
          <cell r="B1025" t="str">
            <v>Material</v>
          </cell>
          <cell r="C1025" t="str">
            <v>Barrera de Vapor Stego 10 mil</v>
          </cell>
          <cell r="D1025">
            <v>12</v>
          </cell>
          <cell r="E1025" t="str">
            <v>m²</v>
          </cell>
          <cell r="F1025">
            <v>133.1</v>
          </cell>
          <cell r="G1025">
            <v>1597.1999999999998</v>
          </cell>
          <cell r="H1025">
            <v>287.49599999999998</v>
          </cell>
          <cell r="I1025">
            <v>1884.6959999999999</v>
          </cell>
        </row>
        <row r="1026">
          <cell r="A1026" t="str">
            <v>H0205059</v>
          </cell>
          <cell r="B1026" t="str">
            <v>Mano de obra</v>
          </cell>
          <cell r="C1026" t="str">
            <v>M.O. Preparación del Terreno</v>
          </cell>
          <cell r="D1026">
            <v>10</v>
          </cell>
          <cell r="E1026" t="str">
            <v>m²</v>
          </cell>
          <cell r="F1026">
            <v>35</v>
          </cell>
          <cell r="G1026">
            <v>350</v>
          </cell>
          <cell r="H1026">
            <v>0</v>
          </cell>
          <cell r="I1026">
            <v>350</v>
          </cell>
        </row>
        <row r="1027">
          <cell r="A1027" t="str">
            <v>H0510111</v>
          </cell>
          <cell r="B1027" t="str">
            <v>Mano de obra</v>
          </cell>
          <cell r="C1027" t="str">
            <v>M.O. Enc. Y Desc. Guardera Platea h=10 cm ( T.C )</v>
          </cell>
          <cell r="D1027">
            <v>1.4019999999999999</v>
          </cell>
          <cell r="E1027" t="str">
            <v>m</v>
          </cell>
          <cell r="F1027">
            <v>120</v>
          </cell>
          <cell r="G1027">
            <v>168.23999999999998</v>
          </cell>
          <cell r="H1027">
            <v>0</v>
          </cell>
          <cell r="I1027">
            <v>168.23999999999998</v>
          </cell>
        </row>
        <row r="1028">
          <cell r="A1028" t="str">
            <v>H0302112</v>
          </cell>
          <cell r="B1028" t="str">
            <v>Mano de obra</v>
          </cell>
          <cell r="C1028" t="str">
            <v>M.O. Colocación Malla Electrosoldada</v>
          </cell>
          <cell r="D1028">
            <v>10</v>
          </cell>
          <cell r="E1028" t="str">
            <v>m²</v>
          </cell>
          <cell r="F1028">
            <v>45</v>
          </cell>
          <cell r="G1028">
            <v>450</v>
          </cell>
          <cell r="H1028">
            <v>0</v>
          </cell>
          <cell r="I1028">
            <v>450</v>
          </cell>
        </row>
        <row r="1029">
          <cell r="A1029" t="str">
            <v>H0202004</v>
          </cell>
          <cell r="B1029" t="str">
            <v>Mano de obra</v>
          </cell>
          <cell r="C1029" t="str">
            <v>M.O. Instalación Plastico Barrera de Vapor</v>
          </cell>
          <cell r="D1029">
            <v>10</v>
          </cell>
          <cell r="E1029" t="str">
            <v>m²</v>
          </cell>
          <cell r="F1029">
            <v>15</v>
          </cell>
          <cell r="G1029">
            <v>150</v>
          </cell>
          <cell r="H1029">
            <v>0</v>
          </cell>
          <cell r="I1029">
            <v>150</v>
          </cell>
        </row>
        <row r="1030">
          <cell r="A1030" t="str">
            <v>H0340581</v>
          </cell>
          <cell r="B1030" t="str">
            <v>Mano de obra</v>
          </cell>
          <cell r="C1030" t="str">
            <v>M.O. Construcción Torta de Piso</v>
          </cell>
          <cell r="D1030">
            <v>10</v>
          </cell>
          <cell r="E1030" t="str">
            <v>m²</v>
          </cell>
          <cell r="F1030">
            <v>95</v>
          </cell>
          <cell r="G1030">
            <v>950</v>
          </cell>
          <cell r="H1030">
            <v>0</v>
          </cell>
          <cell r="I1030">
            <v>950</v>
          </cell>
        </row>
        <row r="1031">
          <cell r="A1031" t="str">
            <v>SC800001</v>
          </cell>
          <cell r="B1031" t="str">
            <v>Otros</v>
          </cell>
          <cell r="C1031" t="str">
            <v>Ensayos y pruebas de laboratorio hormigón (3 Probetas x c/45m3)</v>
          </cell>
          <cell r="D1031">
            <v>6.6666666666666666E-2</v>
          </cell>
          <cell r="E1031" t="str">
            <v>u</v>
          </cell>
          <cell r="F1031">
            <v>581.80999999999995</v>
          </cell>
          <cell r="G1031">
            <v>38.787333333333329</v>
          </cell>
          <cell r="H1031">
            <v>0</v>
          </cell>
          <cell r="I1031">
            <v>38.787333333333329</v>
          </cell>
        </row>
        <row r="1032">
          <cell r="A1032" t="str">
            <v>H%FH</v>
          </cell>
          <cell r="B1032" t="str">
            <v>Otros</v>
          </cell>
          <cell r="C1032" t="str">
            <v>Factor Herramientas</v>
          </cell>
          <cell r="D1032">
            <v>1</v>
          </cell>
          <cell r="E1032" t="str">
            <v>%</v>
          </cell>
          <cell r="F1032">
            <v>2068.2399999999998</v>
          </cell>
          <cell r="G1032">
            <v>20.682399999999998</v>
          </cell>
          <cell r="H1032">
            <v>0</v>
          </cell>
          <cell r="I1032">
            <v>20.682399999999998</v>
          </cell>
        </row>
        <row r="1033">
          <cell r="A1033">
            <v>0</v>
          </cell>
          <cell r="B1033">
            <v>0</v>
          </cell>
          <cell r="C1033" t="str">
            <v>Total 01.13.07</v>
          </cell>
          <cell r="D1033">
            <v>1</v>
          </cell>
          <cell r="E1033">
            <v>0</v>
          </cell>
          <cell r="F1033">
            <v>0</v>
          </cell>
          <cell r="G1033">
            <v>10114.778683333334</v>
          </cell>
          <cell r="H1033">
            <v>1437.672411</v>
          </cell>
          <cell r="I1033">
            <v>11552.451094333333</v>
          </cell>
        </row>
        <row r="1034">
          <cell r="A1034" t="str">
            <v>01.13.08</v>
          </cell>
          <cell r="B1034" t="str">
            <v>Partida</v>
          </cell>
          <cell r="C1034" t="str">
            <v>CONTEN PULIDO DE h=0.40m - HORMIGON INDUSTRIAL 210KG/CM2</v>
          </cell>
          <cell r="D1034">
            <v>1</v>
          </cell>
          <cell r="E1034" t="str">
            <v>m</v>
          </cell>
          <cell r="F1034">
            <v>0</v>
          </cell>
          <cell r="G1034">
            <v>1121.2941086315182</v>
          </cell>
          <cell r="H1034">
            <v>119.08051865214611</v>
          </cell>
          <cell r="I1034">
            <v>1240.3746272836643</v>
          </cell>
        </row>
        <row r="1035">
          <cell r="A1035" t="str">
            <v>P0602008</v>
          </cell>
          <cell r="B1035" t="str">
            <v>Material</v>
          </cell>
          <cell r="C1035" t="str">
            <v>Hormigón Industrial H210 kg/cm2, Bombeado</v>
          </cell>
          <cell r="D1035">
            <v>0.13498405858830601</v>
          </cell>
          <cell r="E1035" t="str">
            <v>m³</v>
          </cell>
          <cell r="F1035">
            <v>4845.76</v>
          </cell>
          <cell r="G1035">
            <v>654.10035174486973</v>
          </cell>
          <cell r="H1035">
            <v>117.73806331407654</v>
          </cell>
          <cell r="I1035">
            <v>771.83841505894623</v>
          </cell>
        </row>
        <row r="1036">
          <cell r="A1036" t="str">
            <v>P0301012</v>
          </cell>
          <cell r="B1036" t="str">
            <v>Material</v>
          </cell>
          <cell r="C1036" t="str">
            <v>Madera Pino Amer. Cepillado 10"x1"</v>
          </cell>
          <cell r="D1036">
            <v>0.16603039206361639</v>
          </cell>
          <cell r="E1036" t="str">
            <v>p²</v>
          </cell>
          <cell r="F1036">
            <v>44.92</v>
          </cell>
          <cell r="G1036">
            <v>7.4580852114976484</v>
          </cell>
          <cell r="H1036">
            <v>1.3424553380695767</v>
          </cell>
          <cell r="I1036">
            <v>8.8005405495672253</v>
          </cell>
        </row>
        <row r="1037">
          <cell r="A1037" t="str">
            <v>H0355565</v>
          </cell>
          <cell r="B1037" t="str">
            <v>Mano de obra</v>
          </cell>
          <cell r="C1037" t="str">
            <v xml:space="preserve">M.O. Const. de Contenes </v>
          </cell>
          <cell r="D1037">
            <v>1</v>
          </cell>
          <cell r="E1037" t="str">
            <v>m</v>
          </cell>
          <cell r="F1037">
            <v>450</v>
          </cell>
          <cell r="G1037">
            <v>450</v>
          </cell>
          <cell r="H1037">
            <v>0</v>
          </cell>
          <cell r="I1037">
            <v>450</v>
          </cell>
        </row>
        <row r="1038">
          <cell r="A1038" t="str">
            <v>SC800001</v>
          </cell>
          <cell r="B1038" t="str">
            <v>Otros</v>
          </cell>
          <cell r="C1038" t="str">
            <v>Ensayos y pruebas de laboratorio hormigón (3 Probetas x c/45m3)</v>
          </cell>
          <cell r="D1038">
            <v>8.9989372392204007E-3</v>
          </cell>
          <cell r="E1038" t="str">
            <v>u</v>
          </cell>
          <cell r="F1038">
            <v>581.80999999999995</v>
          </cell>
          <cell r="G1038">
            <v>5.2356716751508205</v>
          </cell>
          <cell r="H1038">
            <v>0</v>
          </cell>
          <cell r="I1038">
            <v>5.2356716751508205</v>
          </cell>
        </row>
        <row r="1039">
          <cell r="A1039" t="str">
            <v>H%FH</v>
          </cell>
          <cell r="B1039" t="str">
            <v>Otros</v>
          </cell>
          <cell r="C1039" t="str">
            <v>Factor Herramientas</v>
          </cell>
          <cell r="D1039">
            <v>1</v>
          </cell>
          <cell r="E1039" t="str">
            <v>%</v>
          </cell>
          <cell r="F1039">
            <v>450</v>
          </cell>
          <cell r="G1039">
            <v>4.5</v>
          </cell>
          <cell r="H1039">
            <v>0</v>
          </cell>
          <cell r="I1039">
            <v>4.5</v>
          </cell>
        </row>
        <row r="1040">
          <cell r="A1040">
            <v>0</v>
          </cell>
          <cell r="B1040">
            <v>0</v>
          </cell>
          <cell r="C1040" t="str">
            <v>Total 01.13.08</v>
          </cell>
          <cell r="D1040">
            <v>1</v>
          </cell>
          <cell r="E1040">
            <v>0</v>
          </cell>
          <cell r="F1040">
            <v>0</v>
          </cell>
          <cell r="G1040">
            <v>1121.2941086315182</v>
          </cell>
          <cell r="H1040">
            <v>119.08051865214611</v>
          </cell>
          <cell r="I1040">
            <v>1240.3746272836643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01.14</v>
          </cell>
          <cell r="B1043" t="str">
            <v>Capítulo</v>
          </cell>
          <cell r="C1043" t="str">
            <v>CERRAMIENTOS:</v>
          </cell>
          <cell r="D1043">
            <v>0</v>
          </cell>
          <cell r="E1043" t="str">
            <v/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01.14.01</v>
          </cell>
          <cell r="B1044" t="str">
            <v>Partida</v>
          </cell>
          <cell r="C1044" t="str">
            <v>Alambre trinchera</v>
          </cell>
          <cell r="D1044">
            <v>1</v>
          </cell>
          <cell r="E1044" t="str">
            <v>m</v>
          </cell>
          <cell r="F1044">
            <v>0</v>
          </cell>
          <cell r="G1044">
            <v>450</v>
          </cell>
          <cell r="H1044">
            <v>0</v>
          </cell>
          <cell r="I1044">
            <v>450</v>
          </cell>
        </row>
        <row r="1045">
          <cell r="A1045" t="str">
            <v>SC451125</v>
          </cell>
          <cell r="B1045" t="str">
            <v>Otros</v>
          </cell>
          <cell r="C1045" t="str">
            <v>Sum./ Instalación Alambre Trinchera en Cerramientos, c/Palometa Doble</v>
          </cell>
          <cell r="D1045">
            <v>1</v>
          </cell>
          <cell r="E1045" t="str">
            <v>m</v>
          </cell>
          <cell r="F1045">
            <v>450</v>
          </cell>
          <cell r="G1045">
            <v>450</v>
          </cell>
          <cell r="H1045">
            <v>0</v>
          </cell>
          <cell r="I1045">
            <v>450</v>
          </cell>
        </row>
        <row r="1046">
          <cell r="A1046">
            <v>0</v>
          </cell>
          <cell r="B1046">
            <v>0</v>
          </cell>
          <cell r="C1046" t="str">
            <v>Total 01.14.01</v>
          </cell>
          <cell r="D1046">
            <v>1</v>
          </cell>
          <cell r="E1046">
            <v>0</v>
          </cell>
          <cell r="F1046">
            <v>0</v>
          </cell>
          <cell r="G1046">
            <v>450</v>
          </cell>
          <cell r="H1046">
            <v>0</v>
          </cell>
          <cell r="I1046">
            <v>450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01.14.02</v>
          </cell>
          <cell r="B1048" t="str">
            <v>Partida</v>
          </cell>
          <cell r="C1048" t="str">
            <v>Alambre trinchera en parte inferior del muro de base. 2 líneas paralelas de alambre trinchera</v>
          </cell>
          <cell r="D1048">
            <v>1</v>
          </cell>
          <cell r="E1048" t="str">
            <v>m</v>
          </cell>
          <cell r="F1048">
            <v>0</v>
          </cell>
          <cell r="G1048">
            <v>450</v>
          </cell>
          <cell r="H1048">
            <v>0</v>
          </cell>
          <cell r="I1048">
            <v>450</v>
          </cell>
        </row>
        <row r="1049">
          <cell r="A1049" t="str">
            <v>SC451125</v>
          </cell>
          <cell r="B1049" t="str">
            <v>Otros</v>
          </cell>
          <cell r="C1049" t="str">
            <v>Sum./ Instalación Alambre Trinchera en Cerramientos, c/Palometa Doble</v>
          </cell>
          <cell r="D1049">
            <v>1</v>
          </cell>
          <cell r="E1049" t="str">
            <v>m</v>
          </cell>
          <cell r="F1049">
            <v>450</v>
          </cell>
          <cell r="G1049">
            <v>450</v>
          </cell>
          <cell r="H1049">
            <v>0</v>
          </cell>
          <cell r="I1049">
            <v>450</v>
          </cell>
        </row>
        <row r="1050">
          <cell r="A1050">
            <v>0</v>
          </cell>
          <cell r="B1050">
            <v>0</v>
          </cell>
          <cell r="C1050" t="str">
            <v>Total 01.14.02</v>
          </cell>
          <cell r="D1050">
            <v>1</v>
          </cell>
          <cell r="E1050">
            <v>0</v>
          </cell>
          <cell r="F1050">
            <v>0</v>
          </cell>
          <cell r="G1050">
            <v>450</v>
          </cell>
          <cell r="H1050">
            <v>0</v>
          </cell>
          <cell r="I1050">
            <v>450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01.14.03</v>
          </cell>
          <cell r="B1052" t="str">
            <v>Partida</v>
          </cell>
          <cell r="C1052" t="str">
            <v>Alambre trinchera en parte superior de verja con palometa doble</v>
          </cell>
          <cell r="D1052">
            <v>1</v>
          </cell>
          <cell r="E1052" t="str">
            <v>m</v>
          </cell>
          <cell r="F1052">
            <v>0</v>
          </cell>
          <cell r="G1052">
            <v>450</v>
          </cell>
          <cell r="H1052">
            <v>0</v>
          </cell>
          <cell r="I1052">
            <v>450</v>
          </cell>
        </row>
        <row r="1053">
          <cell r="A1053" t="str">
            <v>SC451125</v>
          </cell>
          <cell r="B1053" t="str">
            <v>Otros</v>
          </cell>
          <cell r="C1053" t="str">
            <v>Sum./ Instalación Alambre Trinchera en Cerramientos, c/Palometa Doble</v>
          </cell>
          <cell r="D1053">
            <v>1</v>
          </cell>
          <cell r="E1053" t="str">
            <v>m</v>
          </cell>
          <cell r="F1053">
            <v>450</v>
          </cell>
          <cell r="G1053">
            <v>450</v>
          </cell>
          <cell r="H1053">
            <v>0</v>
          </cell>
          <cell r="I1053">
            <v>450</v>
          </cell>
        </row>
        <row r="1054">
          <cell r="A1054">
            <v>0</v>
          </cell>
          <cell r="B1054">
            <v>0</v>
          </cell>
          <cell r="C1054" t="str">
            <v>Total 01.14.03</v>
          </cell>
          <cell r="D1054">
            <v>1</v>
          </cell>
          <cell r="E1054">
            <v>0</v>
          </cell>
          <cell r="F1054">
            <v>0</v>
          </cell>
          <cell r="G1054">
            <v>450</v>
          </cell>
          <cell r="H1054">
            <v>0</v>
          </cell>
          <cell r="I1054">
            <v>450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01.14.04</v>
          </cell>
          <cell r="B1056" t="str">
            <v>Partida</v>
          </cell>
          <cell r="C1056" t="str">
            <v>Malla ciclónica, con H=2.44 m.</v>
          </cell>
          <cell r="D1056">
            <v>1</v>
          </cell>
          <cell r="E1056" t="str">
            <v>m</v>
          </cell>
          <cell r="F1056">
            <v>0</v>
          </cell>
          <cell r="G1056">
            <v>1305</v>
          </cell>
          <cell r="H1056">
            <v>0</v>
          </cell>
          <cell r="I1056">
            <v>1305</v>
          </cell>
        </row>
        <row r="1057">
          <cell r="A1057" t="str">
            <v>SC451126</v>
          </cell>
          <cell r="B1057" t="str">
            <v>Otros</v>
          </cell>
          <cell r="C1057" t="str">
            <v>Sum./ Instalación Malla Ciclónica, con H=2.44 m.</v>
          </cell>
          <cell r="D1057">
            <v>1</v>
          </cell>
          <cell r="E1057" t="str">
            <v>m</v>
          </cell>
          <cell r="F1057">
            <v>1305</v>
          </cell>
          <cell r="G1057">
            <v>1305</v>
          </cell>
          <cell r="H1057">
            <v>0</v>
          </cell>
          <cell r="I1057">
            <v>1305</v>
          </cell>
        </row>
        <row r="1058">
          <cell r="A1058">
            <v>0</v>
          </cell>
          <cell r="B1058">
            <v>0</v>
          </cell>
          <cell r="C1058" t="str">
            <v>Total 01.14.04</v>
          </cell>
          <cell r="D1058">
            <v>1</v>
          </cell>
          <cell r="E1058">
            <v>0</v>
          </cell>
          <cell r="F1058">
            <v>0</v>
          </cell>
          <cell r="G1058">
            <v>1305</v>
          </cell>
          <cell r="H1058">
            <v>0</v>
          </cell>
          <cell r="I1058">
            <v>1305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01.14.05</v>
          </cell>
          <cell r="B1060" t="str">
            <v>Partida</v>
          </cell>
          <cell r="C1060" t="str">
            <v>Malla electrosoldada en marco 2 x 1" área comedor</v>
          </cell>
          <cell r="D1060">
            <v>1</v>
          </cell>
          <cell r="E1060" t="str">
            <v>m²</v>
          </cell>
          <cell r="F1060">
            <v>0</v>
          </cell>
          <cell r="G1060">
            <v>510</v>
          </cell>
          <cell r="H1060">
            <v>0</v>
          </cell>
          <cell r="I1060">
            <v>510</v>
          </cell>
        </row>
        <row r="1061">
          <cell r="A1061" t="str">
            <v>SC451127</v>
          </cell>
          <cell r="B1061" t="str">
            <v>Otros</v>
          </cell>
          <cell r="C1061" t="str">
            <v>Sum./ Instalación Malla electrosoldada en marco 2 x 1"</v>
          </cell>
          <cell r="D1061">
            <v>1</v>
          </cell>
          <cell r="E1061" t="str">
            <v>m²</v>
          </cell>
          <cell r="F1061">
            <v>510</v>
          </cell>
          <cell r="G1061">
            <v>510</v>
          </cell>
          <cell r="H1061">
            <v>0</v>
          </cell>
          <cell r="I1061">
            <v>510</v>
          </cell>
        </row>
        <row r="1062">
          <cell r="A1062">
            <v>0</v>
          </cell>
          <cell r="B1062">
            <v>0</v>
          </cell>
          <cell r="C1062" t="str">
            <v>Total 01.14.05</v>
          </cell>
          <cell r="D1062">
            <v>1</v>
          </cell>
          <cell r="E1062">
            <v>0</v>
          </cell>
          <cell r="F1062">
            <v>0</v>
          </cell>
          <cell r="G1062">
            <v>510</v>
          </cell>
          <cell r="H1062">
            <v>0</v>
          </cell>
          <cell r="I1062">
            <v>510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01.14.06</v>
          </cell>
          <cell r="B1064" t="str">
            <v>Partida</v>
          </cell>
          <cell r="C1064" t="str">
            <v>Malla FENS en hueco de escalera (1er a 4to nivel)</v>
          </cell>
          <cell r="D1064">
            <v>1</v>
          </cell>
          <cell r="E1064" t="str">
            <v>m²</v>
          </cell>
          <cell r="F1064">
            <v>0</v>
          </cell>
          <cell r="G1064">
            <v>510</v>
          </cell>
          <cell r="H1064">
            <v>0</v>
          </cell>
          <cell r="I1064">
            <v>510</v>
          </cell>
        </row>
        <row r="1065">
          <cell r="A1065" t="str">
            <v>SC451129</v>
          </cell>
          <cell r="B1065" t="str">
            <v>Otros</v>
          </cell>
          <cell r="C1065" t="str">
            <v>Sum./ Instalación Malla Soldada y Plastificada con perfiles 2"*2" (Fens)</v>
          </cell>
          <cell r="D1065">
            <v>1</v>
          </cell>
          <cell r="E1065" t="str">
            <v>m²</v>
          </cell>
          <cell r="F1065">
            <v>510</v>
          </cell>
          <cell r="G1065">
            <v>510</v>
          </cell>
          <cell r="H1065">
            <v>0</v>
          </cell>
          <cell r="I1065">
            <v>510</v>
          </cell>
        </row>
        <row r="1066">
          <cell r="A1066">
            <v>0</v>
          </cell>
          <cell r="B1066">
            <v>0</v>
          </cell>
          <cell r="C1066" t="str">
            <v>Total 01.14.06</v>
          </cell>
          <cell r="D1066">
            <v>1</v>
          </cell>
          <cell r="E1066">
            <v>0</v>
          </cell>
          <cell r="F1066">
            <v>0</v>
          </cell>
          <cell r="G1066">
            <v>510</v>
          </cell>
          <cell r="H1066">
            <v>0</v>
          </cell>
          <cell r="I1066">
            <v>510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01.14.07</v>
          </cell>
          <cell r="B1068" t="str">
            <v>Partida</v>
          </cell>
          <cell r="C1068" t="str">
            <v>Malla soldada y plastificada con perfiles 2"*2"en hueco de escalera (1er a 5to nivel)</v>
          </cell>
          <cell r="D1068">
            <v>1</v>
          </cell>
          <cell r="E1068" t="str">
            <v>m²</v>
          </cell>
          <cell r="F1068">
            <v>0</v>
          </cell>
          <cell r="G1068">
            <v>510</v>
          </cell>
          <cell r="H1068">
            <v>0</v>
          </cell>
          <cell r="I1068">
            <v>510</v>
          </cell>
        </row>
        <row r="1069">
          <cell r="A1069" t="str">
            <v>SC451129</v>
          </cell>
          <cell r="B1069" t="str">
            <v>Otros</v>
          </cell>
          <cell r="C1069" t="str">
            <v>Sum./ Instalación Malla Soldada y Plastificada con perfiles 2"*2" (Fens)</v>
          </cell>
          <cell r="D1069">
            <v>1</v>
          </cell>
          <cell r="E1069" t="str">
            <v>m²</v>
          </cell>
          <cell r="F1069">
            <v>510</v>
          </cell>
          <cell r="G1069">
            <v>510</v>
          </cell>
          <cell r="H1069">
            <v>0</v>
          </cell>
          <cell r="I1069">
            <v>510</v>
          </cell>
        </row>
        <row r="1070">
          <cell r="A1070">
            <v>0</v>
          </cell>
          <cell r="B1070">
            <v>0</v>
          </cell>
          <cell r="C1070" t="str">
            <v>Total 01.14.07</v>
          </cell>
          <cell r="D1070">
            <v>1</v>
          </cell>
          <cell r="E1070">
            <v>0</v>
          </cell>
          <cell r="F1070">
            <v>0</v>
          </cell>
          <cell r="G1070">
            <v>510</v>
          </cell>
          <cell r="H1070">
            <v>0</v>
          </cell>
          <cell r="I1070">
            <v>510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01.14.08</v>
          </cell>
          <cell r="B1072" t="str">
            <v>Partida</v>
          </cell>
          <cell r="C1072" t="str">
            <v>Techo de protección en perfiles y malla tipo piñonate</v>
          </cell>
          <cell r="D1072">
            <v>1</v>
          </cell>
          <cell r="E1072" t="str">
            <v>m²</v>
          </cell>
          <cell r="F1072">
            <v>0</v>
          </cell>
          <cell r="G1072">
            <v>450</v>
          </cell>
          <cell r="H1072">
            <v>0</v>
          </cell>
          <cell r="I1072">
            <v>450</v>
          </cell>
        </row>
        <row r="1073">
          <cell r="A1073" t="str">
            <v>SC451137</v>
          </cell>
          <cell r="B1073" t="str">
            <v>Otros</v>
          </cell>
          <cell r="C1073" t="str">
            <v>Sum./ Instalación Techo de protección en perfiles y malla tipo piñonate</v>
          </cell>
          <cell r="D1073">
            <v>1</v>
          </cell>
          <cell r="E1073" t="str">
            <v>m²</v>
          </cell>
          <cell r="F1073">
            <v>450</v>
          </cell>
          <cell r="G1073">
            <v>450</v>
          </cell>
          <cell r="H1073">
            <v>0</v>
          </cell>
          <cell r="I1073">
            <v>450</v>
          </cell>
        </row>
        <row r="1074">
          <cell r="A1074">
            <v>0</v>
          </cell>
          <cell r="B1074">
            <v>0</v>
          </cell>
          <cell r="C1074" t="str">
            <v>Total 01.14.08</v>
          </cell>
          <cell r="D1074">
            <v>1</v>
          </cell>
          <cell r="E1074">
            <v>0</v>
          </cell>
          <cell r="F1074">
            <v>0</v>
          </cell>
          <cell r="G1074">
            <v>450</v>
          </cell>
          <cell r="H1074">
            <v>0</v>
          </cell>
          <cell r="I1074">
            <v>450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01.15</v>
          </cell>
          <cell r="B1077" t="str">
            <v>Capítulo</v>
          </cell>
          <cell r="C1077" t="str">
            <v>EXTERIORES:</v>
          </cell>
          <cell r="D1077">
            <v>0</v>
          </cell>
          <cell r="E1077" t="str">
            <v/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01.15.01</v>
          </cell>
          <cell r="B1078" t="str">
            <v>Partida</v>
          </cell>
          <cell r="C1078" t="str">
            <v>Arenilla roja: Suministro, regado, nivelado y compactado con equipos, e= 0.10 mts. (campo corto, montículo del pitcher y fuera l</v>
          </cell>
          <cell r="D1078">
            <v>1</v>
          </cell>
          <cell r="E1078" t="str">
            <v>m³c</v>
          </cell>
          <cell r="F1078">
            <v>0</v>
          </cell>
          <cell r="G1078">
            <v>1570</v>
          </cell>
          <cell r="H1078">
            <v>0</v>
          </cell>
          <cell r="I1078">
            <v>1570</v>
          </cell>
        </row>
        <row r="1079">
          <cell r="A1079" t="str">
            <v>SC087201</v>
          </cell>
          <cell r="B1079" t="str">
            <v>Otros</v>
          </cell>
          <cell r="C1079" t="str">
            <v>Suministro, regado, nivelado y compactado de Arenilla Roja c/ Equipos</v>
          </cell>
          <cell r="D1079">
            <v>1</v>
          </cell>
          <cell r="E1079" t="str">
            <v>m³c</v>
          </cell>
          <cell r="F1079">
            <v>1570</v>
          </cell>
          <cell r="G1079">
            <v>1570</v>
          </cell>
          <cell r="H1079">
            <v>0</v>
          </cell>
          <cell r="I1079">
            <v>1570</v>
          </cell>
        </row>
        <row r="1080">
          <cell r="A1080">
            <v>0</v>
          </cell>
          <cell r="B1080">
            <v>0</v>
          </cell>
          <cell r="C1080" t="str">
            <v>Total 01.15.01</v>
          </cell>
          <cell r="D1080">
            <v>1</v>
          </cell>
          <cell r="E1080">
            <v>0</v>
          </cell>
          <cell r="F1080">
            <v>0</v>
          </cell>
          <cell r="G1080">
            <v>1570</v>
          </cell>
          <cell r="H1080">
            <v>0</v>
          </cell>
          <cell r="I1080">
            <v>1570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01.15.02</v>
          </cell>
          <cell r="B1082" t="str">
            <v>Partida</v>
          </cell>
          <cell r="C1082" t="str">
            <v>Bancos de hormigón</v>
          </cell>
          <cell r="D1082">
            <v>1</v>
          </cell>
          <cell r="E1082" t="str">
            <v>m</v>
          </cell>
          <cell r="F1082">
            <v>0</v>
          </cell>
          <cell r="G1082">
            <v>3226.3114764000002</v>
          </cell>
          <cell r="H1082">
            <v>123.61166575199999</v>
          </cell>
          <cell r="I1082">
            <v>3349.9231421519999</v>
          </cell>
        </row>
        <row r="1083">
          <cell r="A1083" t="str">
            <v>P1805011</v>
          </cell>
          <cell r="B1083" t="str">
            <v>Material</v>
          </cell>
          <cell r="C1083" t="str">
            <v>Bloque de hormigón de 6"</v>
          </cell>
          <cell r="D1083">
            <v>1.5390999999999999</v>
          </cell>
          <cell r="E1083" t="str">
            <v>u</v>
          </cell>
          <cell r="F1083">
            <v>23.52</v>
          </cell>
          <cell r="G1083">
            <v>36.199631999999994</v>
          </cell>
          <cell r="H1083">
            <v>6.5159337599999985</v>
          </cell>
          <cell r="I1083">
            <v>42.71556575999999</v>
          </cell>
        </row>
        <row r="1084">
          <cell r="A1084" t="str">
            <v>P0401066</v>
          </cell>
          <cell r="B1084" t="str">
            <v>Material</v>
          </cell>
          <cell r="C1084" t="str">
            <v>Acero G-60, Long. Variable</v>
          </cell>
          <cell r="D1084">
            <v>0.16850000000000001</v>
          </cell>
          <cell r="E1084" t="str">
            <v>qq</v>
          </cell>
          <cell r="F1084">
            <v>2285</v>
          </cell>
          <cell r="G1084">
            <v>385.02250000000004</v>
          </cell>
          <cell r="H1084">
            <v>69.304050000000004</v>
          </cell>
          <cell r="I1084">
            <v>454.32655000000005</v>
          </cell>
        </row>
        <row r="1085">
          <cell r="A1085" t="str">
            <v>P0418006</v>
          </cell>
          <cell r="B1085" t="str">
            <v>Material</v>
          </cell>
          <cell r="C1085" t="str">
            <v>Alambre galvanizado liso #18</v>
          </cell>
          <cell r="D1085">
            <v>0.32100000000000001</v>
          </cell>
          <cell r="E1085" t="str">
            <v>lb</v>
          </cell>
          <cell r="F1085">
            <v>42.28</v>
          </cell>
          <cell r="G1085">
            <v>13.57188</v>
          </cell>
          <cell r="H1085">
            <v>2.4429384000000001</v>
          </cell>
          <cell r="I1085">
            <v>16.014818399999999</v>
          </cell>
        </row>
        <row r="1086">
          <cell r="A1086" t="str">
            <v>P0201008</v>
          </cell>
          <cell r="B1086" t="str">
            <v>Material</v>
          </cell>
          <cell r="C1086" t="str">
            <v>Arena Itabo Lavada</v>
          </cell>
          <cell r="D1086">
            <v>2.8799999999999999E-2</v>
          </cell>
          <cell r="E1086" t="str">
            <v>m³</v>
          </cell>
          <cell r="F1086">
            <v>930.76</v>
          </cell>
          <cell r="G1086">
            <v>26.805887999999999</v>
          </cell>
          <cell r="H1086">
            <v>4.8250598399999998</v>
          </cell>
          <cell r="I1086">
            <v>31.630947839999997</v>
          </cell>
        </row>
        <row r="1087">
          <cell r="A1087" t="str">
            <v>P0201005</v>
          </cell>
          <cell r="B1087" t="str">
            <v>Material</v>
          </cell>
          <cell r="C1087" t="str">
            <v>Arena fina p/pañete</v>
          </cell>
          <cell r="D1087">
            <v>5.8999999999999999E-3</v>
          </cell>
          <cell r="E1087" t="str">
            <v>m³</v>
          </cell>
          <cell r="F1087">
            <v>1200</v>
          </cell>
          <cell r="G1087">
            <v>7.08</v>
          </cell>
          <cell r="H1087">
            <v>1.2744</v>
          </cell>
          <cell r="I1087">
            <v>8.3544</v>
          </cell>
        </row>
        <row r="1088">
          <cell r="A1088" t="str">
            <v>P0201007</v>
          </cell>
          <cell r="B1088" t="str">
            <v>Material</v>
          </cell>
          <cell r="C1088" t="str">
            <v>Grava de 1/2"</v>
          </cell>
          <cell r="D1088">
            <v>2.0400000000000001E-2</v>
          </cell>
          <cell r="E1088" t="str">
            <v>m³</v>
          </cell>
          <cell r="F1088">
            <v>1100</v>
          </cell>
          <cell r="G1088">
            <v>22.44</v>
          </cell>
          <cell r="H1088">
            <v>4.0392000000000001</v>
          </cell>
          <cell r="I1088">
            <v>26.479200000000002</v>
          </cell>
        </row>
        <row r="1089">
          <cell r="A1089" t="str">
            <v>P0601003</v>
          </cell>
          <cell r="B1089" t="str">
            <v>Material</v>
          </cell>
          <cell r="C1089" t="str">
            <v>Cemento Gris 94 lbs. Tipo Portland</v>
          </cell>
          <cell r="D1089">
            <v>0.52339999999999998</v>
          </cell>
          <cell r="E1089" t="str">
            <v>fd</v>
          </cell>
          <cell r="F1089">
            <v>295</v>
          </cell>
          <cell r="G1089">
            <v>154.40299999999999</v>
          </cell>
          <cell r="H1089">
            <v>27.792539999999999</v>
          </cell>
          <cell r="I1089">
            <v>182.19553999999999</v>
          </cell>
        </row>
        <row r="1090">
          <cell r="A1090" t="str">
            <v>P0603001</v>
          </cell>
          <cell r="B1090" t="str">
            <v>Material</v>
          </cell>
          <cell r="C1090" t="str">
            <v>Cal hidratada, funda de 50 Lbs</v>
          </cell>
          <cell r="D1090">
            <v>1.2999999999999999E-2</v>
          </cell>
          <cell r="E1090" t="str">
            <v>fd</v>
          </cell>
          <cell r="F1090">
            <v>213.4</v>
          </cell>
          <cell r="G1090">
            <v>2.7742</v>
          </cell>
          <cell r="H1090">
            <v>0.49935599999999997</v>
          </cell>
          <cell r="I1090">
            <v>3.2735560000000001</v>
          </cell>
        </row>
        <row r="1091">
          <cell r="A1091" t="str">
            <v>P2403199</v>
          </cell>
          <cell r="B1091" t="str">
            <v>Material</v>
          </cell>
          <cell r="C1091" t="str">
            <v>Agua</v>
          </cell>
          <cell r="D1091">
            <v>3.0209000000000001</v>
          </cell>
          <cell r="E1091" t="str">
            <v>gl</v>
          </cell>
          <cell r="F1091">
            <v>1.58</v>
          </cell>
          <cell r="G1091">
            <v>4.7730220000000001</v>
          </cell>
          <cell r="H1091">
            <v>0.85914396000000004</v>
          </cell>
          <cell r="I1091">
            <v>5.63216596</v>
          </cell>
        </row>
        <row r="1092">
          <cell r="A1092" t="str">
            <v>P0109018</v>
          </cell>
          <cell r="B1092" t="str">
            <v>Auxiliar</v>
          </cell>
          <cell r="C1092" t="str">
            <v>Hormigón In Situ fc=120Kg/Cm²  Agreg 3/8@1/2</v>
          </cell>
          <cell r="D1092">
            <v>1.0800000000000001E-2</v>
          </cell>
          <cell r="E1092" t="str">
            <v>m³</v>
          </cell>
          <cell r="F1092">
            <v>4435.2180000000008</v>
          </cell>
          <cell r="G1092">
            <v>47.900354400000012</v>
          </cell>
          <cell r="H1092">
            <v>5.9976637919999991</v>
          </cell>
          <cell r="I1092">
            <v>53.898018192000009</v>
          </cell>
        </row>
        <row r="1093">
          <cell r="A1093" t="str">
            <v>P0701003</v>
          </cell>
          <cell r="B1093" t="str">
            <v>Material</v>
          </cell>
          <cell r="C1093" t="str">
            <v>Regla para pañete de PATC</v>
          </cell>
          <cell r="D1093">
            <v>6.1999999999999998E-3</v>
          </cell>
          <cell r="E1093" t="str">
            <v>p²</v>
          </cell>
          <cell r="F1093">
            <v>55.000000000000007</v>
          </cell>
          <cell r="G1093">
            <v>0.34100000000000003</v>
          </cell>
          <cell r="H1093">
            <v>6.1380000000000004E-2</v>
          </cell>
          <cell r="I1093">
            <v>0.40238000000000002</v>
          </cell>
        </row>
        <row r="1094">
          <cell r="A1094" t="str">
            <v>H0320214</v>
          </cell>
          <cell r="B1094" t="str">
            <v>Mano de obra</v>
          </cell>
          <cell r="C1094" t="str">
            <v>M.O. Alb. Construccion de Banco H.A.</v>
          </cell>
          <cell r="D1094">
            <v>1</v>
          </cell>
          <cell r="E1094" t="str">
            <v>m</v>
          </cell>
          <cell r="F1094">
            <v>2500</v>
          </cell>
          <cell r="G1094">
            <v>2500</v>
          </cell>
          <cell r="H1094">
            <v>0</v>
          </cell>
          <cell r="I1094">
            <v>2500</v>
          </cell>
        </row>
        <row r="1095">
          <cell r="A1095" t="str">
            <v>H%FH</v>
          </cell>
          <cell r="B1095" t="str">
            <v>Otros</v>
          </cell>
          <cell r="C1095" t="str">
            <v>Factor Herramientas</v>
          </cell>
          <cell r="D1095">
            <v>1</v>
          </cell>
          <cell r="E1095" t="str">
            <v>%</v>
          </cell>
          <cell r="F1095">
            <v>2500</v>
          </cell>
          <cell r="G1095">
            <v>25</v>
          </cell>
          <cell r="H1095">
            <v>0</v>
          </cell>
          <cell r="I1095">
            <v>25</v>
          </cell>
        </row>
        <row r="1096">
          <cell r="A1096">
            <v>0</v>
          </cell>
          <cell r="B1096">
            <v>0</v>
          </cell>
          <cell r="C1096" t="str">
            <v>Total 01.15.02</v>
          </cell>
          <cell r="D1096">
            <v>1</v>
          </cell>
          <cell r="E1096">
            <v>0</v>
          </cell>
          <cell r="F1096">
            <v>0</v>
          </cell>
          <cell r="G1096">
            <v>3226.3114764000002</v>
          </cell>
          <cell r="H1096">
            <v>123.61166575199999</v>
          </cell>
          <cell r="I1096">
            <v>3349.9231421519999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01.16</v>
          </cell>
          <cell r="B1100" t="str">
            <v>Capítulo</v>
          </cell>
          <cell r="C1100" t="str">
            <v>BARANDAS:</v>
          </cell>
          <cell r="D1100">
            <v>0</v>
          </cell>
          <cell r="E1100" t="str">
            <v/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01.16.01</v>
          </cell>
          <cell r="B1101" t="str">
            <v>Partida</v>
          </cell>
          <cell r="C1101" t="str">
            <v>Baranda de Perfil en área de Escalera</v>
          </cell>
          <cell r="D1101">
            <v>1</v>
          </cell>
          <cell r="E1101" t="str">
            <v>m</v>
          </cell>
          <cell r="F1101">
            <v>0</v>
          </cell>
          <cell r="G1101">
            <v>4290</v>
          </cell>
          <cell r="H1101">
            <v>0</v>
          </cell>
          <cell r="I1101">
            <v>4290</v>
          </cell>
        </row>
        <row r="1102">
          <cell r="A1102" t="str">
            <v>O051421</v>
          </cell>
          <cell r="B1102" t="str">
            <v>Otros</v>
          </cell>
          <cell r="C1102" t="str">
            <v>Sum./ Instalación de Baranda de Perfil</v>
          </cell>
          <cell r="D1102">
            <v>1</v>
          </cell>
          <cell r="E1102" t="str">
            <v>m</v>
          </cell>
          <cell r="F1102">
            <v>4290</v>
          </cell>
          <cell r="G1102">
            <v>4290</v>
          </cell>
          <cell r="H1102">
            <v>0</v>
          </cell>
          <cell r="I1102">
            <v>4290</v>
          </cell>
        </row>
        <row r="1103">
          <cell r="A1103">
            <v>0</v>
          </cell>
          <cell r="B1103">
            <v>0</v>
          </cell>
          <cell r="C1103" t="str">
            <v>Total 01.16.01</v>
          </cell>
          <cell r="D1103">
            <v>1</v>
          </cell>
          <cell r="E1103">
            <v>0</v>
          </cell>
          <cell r="F1103">
            <v>0</v>
          </cell>
          <cell r="G1103">
            <v>4290</v>
          </cell>
          <cell r="H1103">
            <v>0</v>
          </cell>
          <cell r="I1103">
            <v>4290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01.16.02</v>
          </cell>
          <cell r="B1105" t="str">
            <v>Partida</v>
          </cell>
          <cell r="C1105" t="str">
            <v>Baranda en elementos tubulares de 2.5". (ver detalle estructural)</v>
          </cell>
          <cell r="D1105">
            <v>1</v>
          </cell>
          <cell r="E1105" t="str">
            <v>m</v>
          </cell>
          <cell r="F1105">
            <v>0</v>
          </cell>
          <cell r="G1105">
            <v>4290</v>
          </cell>
          <cell r="H1105">
            <v>0</v>
          </cell>
          <cell r="I1105">
            <v>4290</v>
          </cell>
        </row>
        <row r="1106">
          <cell r="A1106" t="str">
            <v>O051422</v>
          </cell>
          <cell r="B1106" t="str">
            <v>Otros</v>
          </cell>
          <cell r="C1106" t="str">
            <v>Sum./ Instalación de Baranda en elementos tubulares de 2.5"</v>
          </cell>
          <cell r="D1106">
            <v>1</v>
          </cell>
          <cell r="E1106" t="str">
            <v>m</v>
          </cell>
          <cell r="F1106">
            <v>4290</v>
          </cell>
          <cell r="G1106">
            <v>4290</v>
          </cell>
          <cell r="H1106">
            <v>0</v>
          </cell>
          <cell r="I1106">
            <v>4290</v>
          </cell>
        </row>
        <row r="1107">
          <cell r="A1107">
            <v>0</v>
          </cell>
          <cell r="B1107">
            <v>0</v>
          </cell>
          <cell r="C1107" t="str">
            <v>Total 01.16.02</v>
          </cell>
          <cell r="D1107">
            <v>1</v>
          </cell>
          <cell r="E1107">
            <v>0</v>
          </cell>
          <cell r="F1107">
            <v>0</v>
          </cell>
          <cell r="G1107">
            <v>4290</v>
          </cell>
          <cell r="H1107">
            <v>0</v>
          </cell>
          <cell r="I1107">
            <v>4290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01.16.03</v>
          </cell>
          <cell r="B1109" t="str">
            <v>Partida</v>
          </cell>
          <cell r="C1109" t="str">
            <v>Baranda en perfiles de aluminio en rampa de entrada</v>
          </cell>
          <cell r="D1109">
            <v>1</v>
          </cell>
          <cell r="E1109" t="str">
            <v>m</v>
          </cell>
          <cell r="F1109">
            <v>0</v>
          </cell>
          <cell r="G1109">
            <v>4290</v>
          </cell>
          <cell r="H1109">
            <v>0</v>
          </cell>
          <cell r="I1109">
            <v>4290</v>
          </cell>
        </row>
        <row r="1110">
          <cell r="A1110" t="str">
            <v>O051423</v>
          </cell>
          <cell r="B1110" t="str">
            <v>Otros</v>
          </cell>
          <cell r="C1110" t="str">
            <v>Sum./ Instalación de Baranda en Perfiles de Alumnio en Rampa</v>
          </cell>
          <cell r="D1110">
            <v>1</v>
          </cell>
          <cell r="E1110" t="str">
            <v>m</v>
          </cell>
          <cell r="F1110">
            <v>4290</v>
          </cell>
          <cell r="G1110">
            <v>4290</v>
          </cell>
          <cell r="H1110">
            <v>0</v>
          </cell>
          <cell r="I1110">
            <v>4290</v>
          </cell>
        </row>
        <row r="1111">
          <cell r="A1111">
            <v>0</v>
          </cell>
          <cell r="B1111">
            <v>0</v>
          </cell>
          <cell r="C1111" t="str">
            <v>Total 01.16.03</v>
          </cell>
          <cell r="D1111">
            <v>1</v>
          </cell>
          <cell r="E1111">
            <v>0</v>
          </cell>
          <cell r="F1111">
            <v>0</v>
          </cell>
          <cell r="G1111">
            <v>4290</v>
          </cell>
          <cell r="H1111">
            <v>0</v>
          </cell>
          <cell r="I1111">
            <v>4290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01.16.04</v>
          </cell>
          <cell r="B1113" t="str">
            <v>Partida</v>
          </cell>
          <cell r="C1113" t="str">
            <v>Baranda en perfiles de aluminio para escaleras</v>
          </cell>
          <cell r="D1113">
            <v>1</v>
          </cell>
          <cell r="E1113" t="str">
            <v>m</v>
          </cell>
          <cell r="F1113">
            <v>0</v>
          </cell>
          <cell r="G1113">
            <v>4290</v>
          </cell>
          <cell r="H1113">
            <v>0</v>
          </cell>
          <cell r="I1113">
            <v>4290</v>
          </cell>
        </row>
        <row r="1114">
          <cell r="A1114" t="str">
            <v>O051424</v>
          </cell>
          <cell r="B1114" t="str">
            <v>Otros</v>
          </cell>
          <cell r="C1114" t="str">
            <v>Sum./ Instalación de Baranda en Perfiles de Alumnio en Escalera</v>
          </cell>
          <cell r="D1114">
            <v>1</v>
          </cell>
          <cell r="E1114" t="str">
            <v>m</v>
          </cell>
          <cell r="F1114">
            <v>4290</v>
          </cell>
          <cell r="G1114">
            <v>4290</v>
          </cell>
          <cell r="H1114">
            <v>0</v>
          </cell>
          <cell r="I1114">
            <v>4290</v>
          </cell>
        </row>
        <row r="1115">
          <cell r="A1115">
            <v>0</v>
          </cell>
          <cell r="B1115">
            <v>0</v>
          </cell>
          <cell r="C1115" t="str">
            <v>Total 01.16.04</v>
          </cell>
          <cell r="D1115">
            <v>1</v>
          </cell>
          <cell r="E1115">
            <v>0</v>
          </cell>
          <cell r="F1115">
            <v>0</v>
          </cell>
          <cell r="G1115">
            <v>4290</v>
          </cell>
          <cell r="H1115">
            <v>0</v>
          </cell>
          <cell r="I1115">
            <v>4290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01.16.05</v>
          </cell>
          <cell r="B1117" t="str">
            <v>Partida</v>
          </cell>
          <cell r="C1117" t="str">
            <v>Baranda escaleras  empotrada en pared</v>
          </cell>
          <cell r="D1117">
            <v>1</v>
          </cell>
          <cell r="E1117" t="str">
            <v>m</v>
          </cell>
          <cell r="F1117">
            <v>0</v>
          </cell>
          <cell r="G1117">
            <v>1980.0000000000002</v>
          </cell>
          <cell r="H1117">
            <v>0</v>
          </cell>
          <cell r="I1117">
            <v>1980.0000000000002</v>
          </cell>
        </row>
        <row r="1118">
          <cell r="A1118" t="str">
            <v>O051425</v>
          </cell>
          <cell r="B1118" t="str">
            <v>Otros</v>
          </cell>
          <cell r="C1118" t="str">
            <v>Sum./ Instalación de Baranda Escalera Empotrada en Pared</v>
          </cell>
          <cell r="D1118">
            <v>1</v>
          </cell>
          <cell r="E1118" t="str">
            <v>m</v>
          </cell>
          <cell r="F1118">
            <v>1980.0000000000002</v>
          </cell>
          <cell r="G1118">
            <v>1980.0000000000002</v>
          </cell>
          <cell r="H1118">
            <v>0</v>
          </cell>
          <cell r="I1118">
            <v>1980.0000000000002</v>
          </cell>
        </row>
        <row r="1119">
          <cell r="A1119">
            <v>0</v>
          </cell>
          <cell r="B1119">
            <v>0</v>
          </cell>
          <cell r="C1119" t="str">
            <v>Total 01.16.05</v>
          </cell>
          <cell r="D1119">
            <v>1</v>
          </cell>
          <cell r="E1119">
            <v>0</v>
          </cell>
          <cell r="F1119">
            <v>0</v>
          </cell>
          <cell r="G1119">
            <v>1980.0000000000002</v>
          </cell>
          <cell r="H1119">
            <v>0</v>
          </cell>
          <cell r="I1119">
            <v>1980.0000000000002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01.16.07</v>
          </cell>
          <cell r="B1121" t="str">
            <v>Partida</v>
          </cell>
          <cell r="C1121" t="str">
            <v>Barandas para minusválidos</v>
          </cell>
          <cell r="D1121">
            <v>1</v>
          </cell>
          <cell r="E1121" t="str">
            <v>m</v>
          </cell>
          <cell r="F1121">
            <v>0</v>
          </cell>
          <cell r="G1121">
            <v>1980.0000000000002</v>
          </cell>
          <cell r="H1121">
            <v>0</v>
          </cell>
          <cell r="I1121">
            <v>1980.0000000000002</v>
          </cell>
        </row>
        <row r="1122">
          <cell r="A1122" t="str">
            <v>O051426</v>
          </cell>
          <cell r="B1122" t="str">
            <v>Otros</v>
          </cell>
          <cell r="C1122" t="str">
            <v>Sum./ Instalación de Baranda p/Minisvalidos</v>
          </cell>
          <cell r="D1122">
            <v>1</v>
          </cell>
          <cell r="E1122" t="str">
            <v>m</v>
          </cell>
          <cell r="F1122">
            <v>1980.0000000000002</v>
          </cell>
          <cell r="G1122">
            <v>1980.0000000000002</v>
          </cell>
          <cell r="H1122">
            <v>0</v>
          </cell>
          <cell r="I1122">
            <v>1980.0000000000002</v>
          </cell>
        </row>
        <row r="1123">
          <cell r="A1123">
            <v>0</v>
          </cell>
          <cell r="B1123">
            <v>0</v>
          </cell>
          <cell r="C1123" t="str">
            <v>Total 01.16.07</v>
          </cell>
          <cell r="D1123">
            <v>1</v>
          </cell>
          <cell r="E1123">
            <v>0</v>
          </cell>
          <cell r="F1123">
            <v>0</v>
          </cell>
          <cell r="G1123">
            <v>1980.0000000000002</v>
          </cell>
          <cell r="H1123">
            <v>0</v>
          </cell>
          <cell r="I1123">
            <v>1980.0000000000002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01.17</v>
          </cell>
          <cell r="B1127" t="str">
            <v>Capítulo</v>
          </cell>
          <cell r="C1127" t="str">
            <v>VARIOS:</v>
          </cell>
          <cell r="D1127">
            <v>0</v>
          </cell>
          <cell r="E1127" t="str">
            <v/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01.17.01</v>
          </cell>
          <cell r="B1128" t="str">
            <v>Partida</v>
          </cell>
          <cell r="C1128" t="str">
            <v>Colocación de poliuretano de 1" en juntas</v>
          </cell>
          <cell r="D1128">
            <v>1</v>
          </cell>
          <cell r="E1128" t="str">
            <v>m</v>
          </cell>
          <cell r="F1128">
            <v>0</v>
          </cell>
          <cell r="G1128">
            <v>392.38432400000005</v>
          </cell>
          <cell r="H1128">
            <v>28.815178319999998</v>
          </cell>
          <cell r="I1128">
            <v>421.19950232000002</v>
          </cell>
        </row>
        <row r="1129">
          <cell r="A1129" t="str">
            <v>P0604025</v>
          </cell>
          <cell r="B1129" t="str">
            <v>Material</v>
          </cell>
          <cell r="C1129" t="str">
            <v>Sikaflex Construction (Cartucho 300ml - 3m/cartucho)</v>
          </cell>
          <cell r="D1129">
            <v>0.36630000000000001</v>
          </cell>
          <cell r="E1129" t="str">
            <v>u</v>
          </cell>
          <cell r="F1129">
            <v>392.68</v>
          </cell>
          <cell r="G1129">
            <v>143.838684</v>
          </cell>
          <cell r="H1129">
            <v>25.890963119999999</v>
          </cell>
          <cell r="I1129">
            <v>169.72964712000001</v>
          </cell>
        </row>
        <row r="1130">
          <cell r="A1130" t="str">
            <v>P1301057</v>
          </cell>
          <cell r="B1130" t="str">
            <v>Material</v>
          </cell>
          <cell r="C1130" t="str">
            <v>Foam compresible</v>
          </cell>
          <cell r="D1130">
            <v>2.9999999999999997E-4</v>
          </cell>
          <cell r="E1130" t="str">
            <v>m³</v>
          </cell>
          <cell r="F1130">
            <v>2350</v>
          </cell>
          <cell r="G1130">
            <v>0.70499999999999996</v>
          </cell>
          <cell r="H1130">
            <v>0.12689999999999999</v>
          </cell>
          <cell r="I1130">
            <v>0.83189999999999997</v>
          </cell>
        </row>
        <row r="1131">
          <cell r="A1131" t="str">
            <v>P1404008</v>
          </cell>
          <cell r="B1131" t="str">
            <v>Material</v>
          </cell>
          <cell r="C1131" t="str">
            <v>Malla de polietileno</v>
          </cell>
          <cell r="D1131">
            <v>0.20599999999999999</v>
          </cell>
          <cell r="E1131" t="str">
            <v>m²</v>
          </cell>
          <cell r="F1131">
            <v>75.44</v>
          </cell>
          <cell r="G1131">
            <v>15.540639999999998</v>
          </cell>
          <cell r="H1131">
            <v>2.7973151999999994</v>
          </cell>
          <cell r="I1131">
            <v>18.337955199999996</v>
          </cell>
        </row>
        <row r="1132">
          <cell r="A1132" t="str">
            <v>H122101</v>
          </cell>
          <cell r="B1132" t="str">
            <v>Mano de obra</v>
          </cell>
          <cell r="C1132" t="str">
            <v>M.O. Construcción de Junta de Expansión, incluye violinado</v>
          </cell>
          <cell r="D1132">
            <v>1</v>
          </cell>
          <cell r="E1132" t="str">
            <v>m</v>
          </cell>
          <cell r="F1132">
            <v>230</v>
          </cell>
          <cell r="G1132">
            <v>230</v>
          </cell>
          <cell r="H1132">
            <v>0</v>
          </cell>
          <cell r="I1132">
            <v>230</v>
          </cell>
        </row>
        <row r="1133">
          <cell r="A1133" t="str">
            <v>H%FH</v>
          </cell>
          <cell r="B1133" t="str">
            <v>Otros</v>
          </cell>
          <cell r="C1133" t="str">
            <v>Factor Herramientas</v>
          </cell>
          <cell r="D1133">
            <v>1</v>
          </cell>
          <cell r="E1133" t="str">
            <v>%</v>
          </cell>
          <cell r="F1133">
            <v>230</v>
          </cell>
          <cell r="G1133">
            <v>2.3000000000000003</v>
          </cell>
          <cell r="H1133">
            <v>0</v>
          </cell>
          <cell r="I1133">
            <v>2.3000000000000003</v>
          </cell>
        </row>
        <row r="1134">
          <cell r="A1134">
            <v>0</v>
          </cell>
          <cell r="B1134">
            <v>0</v>
          </cell>
          <cell r="C1134" t="str">
            <v>Total 01.17.01</v>
          </cell>
          <cell r="D1134">
            <v>1</v>
          </cell>
          <cell r="E1134">
            <v>0</v>
          </cell>
          <cell r="F1134">
            <v>0</v>
          </cell>
          <cell r="G1134">
            <v>392.38432400000005</v>
          </cell>
          <cell r="H1134">
            <v>28.815178319999998</v>
          </cell>
          <cell r="I1134">
            <v>421.19950232000002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01.17.02</v>
          </cell>
          <cell r="B1136" t="str">
            <v>Partida</v>
          </cell>
          <cell r="C1136" t="str">
            <v>Colocación de poliuretano de 2" en juntas de expansión y de HA.</v>
          </cell>
          <cell r="D1136">
            <v>1</v>
          </cell>
          <cell r="E1136" t="str">
            <v>m</v>
          </cell>
          <cell r="F1136">
            <v>0</v>
          </cell>
          <cell r="G1136">
            <v>392.85432400000002</v>
          </cell>
          <cell r="H1136">
            <v>28.899778319999999</v>
          </cell>
          <cell r="I1136">
            <v>421.75410232000002</v>
          </cell>
        </row>
        <row r="1137">
          <cell r="A1137" t="str">
            <v>P0604025</v>
          </cell>
          <cell r="B1137" t="str">
            <v>Material</v>
          </cell>
          <cell r="C1137" t="str">
            <v>Sikaflex Construction (Cartucho 300ml - 3m/cartucho)</v>
          </cell>
          <cell r="D1137">
            <v>0.36630000000000001</v>
          </cell>
          <cell r="E1137" t="str">
            <v>u</v>
          </cell>
          <cell r="F1137">
            <v>392.68</v>
          </cell>
          <cell r="G1137">
            <v>143.838684</v>
          </cell>
          <cell r="H1137">
            <v>25.890963119999999</v>
          </cell>
          <cell r="I1137">
            <v>169.72964712000001</v>
          </cell>
        </row>
        <row r="1138">
          <cell r="A1138" t="str">
            <v>P1301057</v>
          </cell>
          <cell r="B1138" t="str">
            <v>Material</v>
          </cell>
          <cell r="C1138" t="str">
            <v>Foam compresible</v>
          </cell>
          <cell r="D1138">
            <v>5.0000000000000001E-4</v>
          </cell>
          <cell r="E1138" t="str">
            <v>m³</v>
          </cell>
          <cell r="F1138">
            <v>2350</v>
          </cell>
          <cell r="G1138">
            <v>1.175</v>
          </cell>
          <cell r="H1138">
            <v>0.21149999999999999</v>
          </cell>
          <cell r="I1138">
            <v>1.3865000000000001</v>
          </cell>
        </row>
        <row r="1139">
          <cell r="A1139" t="str">
            <v>P1404008</v>
          </cell>
          <cell r="B1139" t="str">
            <v>Material</v>
          </cell>
          <cell r="C1139" t="str">
            <v>Malla de polietileno</v>
          </cell>
          <cell r="D1139">
            <v>0.20599999999999999</v>
          </cell>
          <cell r="E1139" t="str">
            <v>m²</v>
          </cell>
          <cell r="F1139">
            <v>75.44</v>
          </cell>
          <cell r="G1139">
            <v>15.540639999999998</v>
          </cell>
          <cell r="H1139">
            <v>2.7973151999999994</v>
          </cell>
          <cell r="I1139">
            <v>18.337955199999996</v>
          </cell>
        </row>
        <row r="1140">
          <cell r="A1140" t="str">
            <v>H122101</v>
          </cell>
          <cell r="B1140" t="str">
            <v>Mano de obra</v>
          </cell>
          <cell r="C1140" t="str">
            <v>M.O. Construcción de Junta de Expansión, incluye violinado</v>
          </cell>
          <cell r="D1140">
            <v>1</v>
          </cell>
          <cell r="E1140" t="str">
            <v>m</v>
          </cell>
          <cell r="F1140">
            <v>230</v>
          </cell>
          <cell r="G1140">
            <v>230</v>
          </cell>
          <cell r="H1140">
            <v>0</v>
          </cell>
          <cell r="I1140">
            <v>230</v>
          </cell>
        </row>
        <row r="1141">
          <cell r="A1141" t="str">
            <v>H%FH</v>
          </cell>
          <cell r="B1141" t="str">
            <v>Otros</v>
          </cell>
          <cell r="C1141" t="str">
            <v>Factor Herramientas</v>
          </cell>
          <cell r="D1141">
            <v>1</v>
          </cell>
          <cell r="E1141" t="str">
            <v>%</v>
          </cell>
          <cell r="F1141">
            <v>230</v>
          </cell>
          <cell r="G1141">
            <v>2.3000000000000003</v>
          </cell>
          <cell r="H1141">
            <v>0</v>
          </cell>
          <cell r="I1141">
            <v>2.3000000000000003</v>
          </cell>
        </row>
        <row r="1142">
          <cell r="A1142">
            <v>0</v>
          </cell>
          <cell r="B1142">
            <v>0</v>
          </cell>
          <cell r="C1142" t="str">
            <v>Total 01.17.02</v>
          </cell>
          <cell r="D1142">
            <v>1</v>
          </cell>
          <cell r="E1142">
            <v>0</v>
          </cell>
          <cell r="F1142">
            <v>0</v>
          </cell>
          <cell r="G1142">
            <v>392.85432400000002</v>
          </cell>
          <cell r="H1142">
            <v>28.899778319999999</v>
          </cell>
          <cell r="I1142">
            <v>421.75410232000002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01.17.03</v>
          </cell>
          <cell r="B1144" t="str">
            <v>Partida</v>
          </cell>
          <cell r="C1144" t="str">
            <v>Construcción de filtrante de 10" Prof. 130' con camara de inspeccion</v>
          </cell>
          <cell r="D1144">
            <v>1</v>
          </cell>
          <cell r="E1144" t="str">
            <v>pies</v>
          </cell>
          <cell r="F1144">
            <v>0</v>
          </cell>
          <cell r="G1144">
            <v>1275</v>
          </cell>
          <cell r="H1144">
            <v>0</v>
          </cell>
          <cell r="I1144">
            <v>1275</v>
          </cell>
        </row>
        <row r="1145">
          <cell r="A1145" t="str">
            <v>O115142</v>
          </cell>
          <cell r="B1145" t="str">
            <v>Otros</v>
          </cell>
          <cell r="C1145" t="str">
            <v>Construcción de filtrante de 10" Prof. 130' con camara de inspeccion</v>
          </cell>
          <cell r="D1145">
            <v>1</v>
          </cell>
          <cell r="E1145" t="str">
            <v>P</v>
          </cell>
          <cell r="F1145">
            <v>1275</v>
          </cell>
          <cell r="G1145">
            <v>1275</v>
          </cell>
          <cell r="H1145">
            <v>0</v>
          </cell>
          <cell r="I1145">
            <v>1275</v>
          </cell>
        </row>
        <row r="1146">
          <cell r="A1146">
            <v>0</v>
          </cell>
          <cell r="B1146">
            <v>0</v>
          </cell>
          <cell r="C1146" t="str">
            <v>Total 01.17.03</v>
          </cell>
          <cell r="D1146">
            <v>1</v>
          </cell>
          <cell r="E1146">
            <v>0</v>
          </cell>
          <cell r="F1146">
            <v>0</v>
          </cell>
          <cell r="G1146">
            <v>1275</v>
          </cell>
          <cell r="H1146">
            <v>0</v>
          </cell>
          <cell r="I1146">
            <v>1275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01.17.04</v>
          </cell>
          <cell r="B1148" t="str">
            <v>Partida</v>
          </cell>
          <cell r="C1148" t="str">
            <v>Construcción de registro (0.60x0.60x0.80)</v>
          </cell>
          <cell r="D1148">
            <v>1</v>
          </cell>
          <cell r="E1148" t="str">
            <v>u</v>
          </cell>
          <cell r="F1148">
            <v>0</v>
          </cell>
          <cell r="G1148">
            <v>6353.1132490850005</v>
          </cell>
          <cell r="H1148">
            <v>597.5523448353</v>
          </cell>
          <cell r="I1148">
            <v>6950.6655939203001</v>
          </cell>
        </row>
        <row r="1149">
          <cell r="A1149" t="str">
            <v>TSISP002</v>
          </cell>
          <cell r="B1149" t="str">
            <v>Partida</v>
          </cell>
          <cell r="C1149" t="str">
            <v>Pañete Pulido e=1.75cm (Sin M.O.)</v>
          </cell>
          <cell r="D1149">
            <v>2.25</v>
          </cell>
          <cell r="E1149" t="str">
            <v>m²</v>
          </cell>
          <cell r="F1149">
            <v>0</v>
          </cell>
          <cell r="G1149">
            <v>110.94622</v>
          </cell>
          <cell r="H1149">
            <v>19.9703196</v>
          </cell>
          <cell r="I1149">
            <v>130.91653959999999</v>
          </cell>
        </row>
        <row r="1150">
          <cell r="A1150" t="str">
            <v>P0603001</v>
          </cell>
          <cell r="B1150" t="str">
            <v>Material</v>
          </cell>
          <cell r="C1150" t="str">
            <v>Cal hidratada, funda de 50 Lbs</v>
          </cell>
          <cell r="D1150">
            <v>4.8300000000000003E-2</v>
          </cell>
          <cell r="E1150" t="str">
            <v>fd</v>
          </cell>
          <cell r="F1150">
            <v>213.4</v>
          </cell>
          <cell r="G1150">
            <v>10.307220000000001</v>
          </cell>
          <cell r="H1150">
            <v>1.8552996000000002</v>
          </cell>
          <cell r="I1150">
            <v>12.162519600000001</v>
          </cell>
        </row>
        <row r="1151">
          <cell r="A1151" t="str">
            <v>P0601003</v>
          </cell>
          <cell r="B1151" t="str">
            <v>Material</v>
          </cell>
          <cell r="C1151" t="str">
            <v>Cemento Gris 94 lbs. Tipo Portland</v>
          </cell>
          <cell r="D1151">
            <v>0.24149999999999999</v>
          </cell>
          <cell r="E1151" t="str">
            <v>fd</v>
          </cell>
          <cell r="F1151">
            <v>295</v>
          </cell>
          <cell r="G1151">
            <v>71.242499999999993</v>
          </cell>
          <cell r="H1151">
            <v>12.823649999999999</v>
          </cell>
          <cell r="I1151">
            <v>84.066149999999993</v>
          </cell>
        </row>
        <row r="1152">
          <cell r="A1152" t="str">
            <v>P0201005</v>
          </cell>
          <cell r="B1152" t="str">
            <v>Material</v>
          </cell>
          <cell r="C1152" t="str">
            <v>Arena fina p/pañete</v>
          </cell>
          <cell r="D1152">
            <v>2.1899999999999999E-2</v>
          </cell>
          <cell r="E1152" t="str">
            <v>m³</v>
          </cell>
          <cell r="F1152">
            <v>1200</v>
          </cell>
          <cell r="G1152">
            <v>26.279999999999998</v>
          </cell>
          <cell r="H1152">
            <v>4.7303999999999995</v>
          </cell>
          <cell r="I1152">
            <v>31.010399999999997</v>
          </cell>
        </row>
        <row r="1153">
          <cell r="A1153" t="str">
            <v>P2403199</v>
          </cell>
          <cell r="B1153" t="str">
            <v>Material</v>
          </cell>
          <cell r="C1153" t="str">
            <v>Agua</v>
          </cell>
          <cell r="D1153">
            <v>1.05</v>
          </cell>
          <cell r="E1153" t="str">
            <v>gl</v>
          </cell>
          <cell r="F1153">
            <v>1.58</v>
          </cell>
          <cell r="G1153">
            <v>1.6590000000000003</v>
          </cell>
          <cell r="H1153">
            <v>0.29862000000000005</v>
          </cell>
          <cell r="I1153">
            <v>1.9576200000000004</v>
          </cell>
        </row>
        <row r="1154">
          <cell r="A1154" t="str">
            <v>P0701003</v>
          </cell>
          <cell r="B1154" t="str">
            <v>Material</v>
          </cell>
          <cell r="C1154" t="str">
            <v>Regla para pañete de PATC</v>
          </cell>
          <cell r="D1154">
            <v>2.6499999999999999E-2</v>
          </cell>
          <cell r="E1154" t="str">
            <v>p²</v>
          </cell>
          <cell r="F1154">
            <v>55.000000000000007</v>
          </cell>
          <cell r="G1154">
            <v>1.4575000000000002</v>
          </cell>
          <cell r="H1154">
            <v>0.26235000000000003</v>
          </cell>
          <cell r="I1154">
            <v>1.7198500000000003</v>
          </cell>
        </row>
        <row r="1155">
          <cell r="A1155">
            <v>0</v>
          </cell>
          <cell r="B1155">
            <v>0</v>
          </cell>
          <cell r="C1155" t="str">
            <v>Total TSISP002</v>
          </cell>
          <cell r="D1155">
            <v>2.25</v>
          </cell>
          <cell r="E1155">
            <v>0</v>
          </cell>
          <cell r="F1155">
            <v>0</v>
          </cell>
          <cell r="G1155">
            <v>110.94622</v>
          </cell>
          <cell r="H1155">
            <v>19.9703196</v>
          </cell>
          <cell r="I1155">
            <v>130.91653959999999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BT5210102</v>
          </cell>
          <cell r="B1157" t="str">
            <v>Partida</v>
          </cell>
          <cell r="C1157" t="str">
            <v>Muro Bloques 15x20x40 SNP V1Ø3/8"G60@80 (Sin M.O.)</v>
          </cell>
          <cell r="D1157">
            <v>2.6</v>
          </cell>
          <cell r="E1157" t="str">
            <v>m²</v>
          </cell>
          <cell r="F1157">
            <v>0</v>
          </cell>
          <cell r="G1157">
            <v>708.17840439999998</v>
          </cell>
          <cell r="H1157">
            <v>115.856712792</v>
          </cell>
          <cell r="I1157">
            <v>824.03511719200014</v>
          </cell>
        </row>
        <row r="1158">
          <cell r="A1158" t="str">
            <v>P1805011</v>
          </cell>
          <cell r="B1158" t="str">
            <v>Material</v>
          </cell>
          <cell r="C1158" t="str">
            <v>Bloque de hormigón de 6"</v>
          </cell>
          <cell r="D1158">
            <v>13.125</v>
          </cell>
          <cell r="E1158" t="str">
            <v>u</v>
          </cell>
          <cell r="F1158">
            <v>23.52</v>
          </cell>
          <cell r="G1158">
            <v>308.7</v>
          </cell>
          <cell r="H1158">
            <v>55.565999999999995</v>
          </cell>
          <cell r="I1158">
            <v>364.26599999999996</v>
          </cell>
        </row>
        <row r="1159">
          <cell r="A1159" t="str">
            <v>P0201008</v>
          </cell>
          <cell r="B1159" t="str">
            <v>Material</v>
          </cell>
          <cell r="C1159" t="str">
            <v>Arena Itabo Lavada</v>
          </cell>
          <cell r="D1159">
            <v>3.49E-2</v>
          </cell>
          <cell r="E1159" t="str">
            <v>m³</v>
          </cell>
          <cell r="F1159">
            <v>930.76</v>
          </cell>
          <cell r="G1159">
            <v>32.483524000000003</v>
          </cell>
          <cell r="H1159">
            <v>5.8470343200000006</v>
          </cell>
          <cell r="I1159">
            <v>38.330558320000002</v>
          </cell>
        </row>
        <row r="1160">
          <cell r="A1160" t="str">
            <v>P0601003</v>
          </cell>
          <cell r="B1160" t="str">
            <v>Material</v>
          </cell>
          <cell r="C1160" t="str">
            <v>Cemento Gris 94 lbs. Tipo Portland</v>
          </cell>
          <cell r="D1160">
            <v>0.30049999999999999</v>
          </cell>
          <cell r="E1160" t="str">
            <v>fd</v>
          </cell>
          <cell r="F1160">
            <v>295</v>
          </cell>
          <cell r="G1160">
            <v>88.647499999999994</v>
          </cell>
          <cell r="H1160">
            <v>15.956549999999998</v>
          </cell>
          <cell r="I1160">
            <v>104.60404999999999</v>
          </cell>
        </row>
        <row r="1161">
          <cell r="A1161" t="str">
            <v>P2403199</v>
          </cell>
          <cell r="B1161" t="str">
            <v>Material</v>
          </cell>
          <cell r="C1161" t="str">
            <v>Agua</v>
          </cell>
          <cell r="D1161">
            <v>1.8720000000000001</v>
          </cell>
          <cell r="E1161" t="str">
            <v>gl</v>
          </cell>
          <cell r="F1161">
            <v>1.58</v>
          </cell>
          <cell r="G1161">
            <v>2.9577600000000004</v>
          </cell>
          <cell r="H1161">
            <v>0.5323968</v>
          </cell>
          <cell r="I1161">
            <v>3.4901568000000003</v>
          </cell>
        </row>
        <row r="1162">
          <cell r="A1162" t="str">
            <v>P0109018</v>
          </cell>
          <cell r="B1162" t="str">
            <v>Auxiliar</v>
          </cell>
          <cell r="C1162" t="str">
            <v>Hormigón In Situ fc=120Kg/Cm²  Agreg 3/8@1/2</v>
          </cell>
          <cell r="D1162">
            <v>4.7800000000000002E-2</v>
          </cell>
          <cell r="E1162" t="str">
            <v>m³</v>
          </cell>
          <cell r="F1162">
            <v>4435.2180000000008</v>
          </cell>
          <cell r="G1162">
            <v>212.00342040000004</v>
          </cell>
          <cell r="H1162">
            <v>26.545215671999998</v>
          </cell>
          <cell r="I1162">
            <v>238.54863607200002</v>
          </cell>
        </row>
        <row r="1163">
          <cell r="A1163" t="str">
            <v>P0401066</v>
          </cell>
          <cell r="B1163" t="str">
            <v>Material</v>
          </cell>
          <cell r="C1163" t="str">
            <v>Acero G-60, Long. Variable</v>
          </cell>
          <cell r="D1163">
            <v>2.7E-2</v>
          </cell>
          <cell r="E1163" t="str">
            <v>qq</v>
          </cell>
          <cell r="F1163">
            <v>2285</v>
          </cell>
          <cell r="G1163">
            <v>61.695</v>
          </cell>
          <cell r="H1163">
            <v>11.1051</v>
          </cell>
          <cell r="I1163">
            <v>72.8001</v>
          </cell>
        </row>
        <row r="1164">
          <cell r="A1164" t="str">
            <v>P0418006</v>
          </cell>
          <cell r="B1164" t="str">
            <v>Material</v>
          </cell>
          <cell r="C1164" t="str">
            <v>Alambre galvanizado liso #18</v>
          </cell>
          <cell r="D1164">
            <v>0.04</v>
          </cell>
          <cell r="E1164" t="str">
            <v>lb</v>
          </cell>
          <cell r="F1164">
            <v>42.28</v>
          </cell>
          <cell r="G1164">
            <v>1.6912</v>
          </cell>
          <cell r="H1164">
            <v>0.30441600000000002</v>
          </cell>
          <cell r="I1164">
            <v>1.9956160000000001</v>
          </cell>
        </row>
        <row r="1165">
          <cell r="A1165">
            <v>0</v>
          </cell>
          <cell r="B1165">
            <v>0</v>
          </cell>
          <cell r="C1165" t="str">
            <v>Total BT5210102</v>
          </cell>
          <cell r="D1165">
            <v>2.6</v>
          </cell>
          <cell r="E1165">
            <v>0</v>
          </cell>
          <cell r="F1165">
            <v>0</v>
          </cell>
          <cell r="G1165">
            <v>708.17840439999998</v>
          </cell>
          <cell r="H1165">
            <v>115.856712792</v>
          </cell>
          <cell r="I1165">
            <v>824.03511719200014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HAISLT016</v>
          </cell>
          <cell r="B1167" t="str">
            <v>Partida</v>
          </cell>
          <cell r="C1167" t="str">
            <v>Losa Tapa Reg e=10cm G-60H- H210</v>
          </cell>
          <cell r="D1167">
            <v>0.12</v>
          </cell>
          <cell r="E1167" t="str">
            <v>m³</v>
          </cell>
          <cell r="F1167">
            <v>0</v>
          </cell>
          <cell r="G1167">
            <v>7530.7632040000008</v>
          </cell>
          <cell r="H1167">
            <v>1251.5873767199998</v>
          </cell>
          <cell r="I1167">
            <v>8782.3505807200017</v>
          </cell>
        </row>
        <row r="1168">
          <cell r="A1168" t="str">
            <v>P2101223</v>
          </cell>
          <cell r="B1168" t="str">
            <v>Auxiliar</v>
          </cell>
          <cell r="C1168" t="str">
            <v>Hormigón H210 Ligado en Obra</v>
          </cell>
          <cell r="D1168">
            <v>1.05</v>
          </cell>
          <cell r="E1168" t="str">
            <v>m³</v>
          </cell>
          <cell r="F1168">
            <v>4372.7180000000008</v>
          </cell>
          <cell r="G1168">
            <v>4591.353900000001</v>
          </cell>
          <cell r="H1168">
            <v>722.49370199999998</v>
          </cell>
          <cell r="I1168">
            <v>5313.8476020000007</v>
          </cell>
        </row>
        <row r="1169">
          <cell r="A1169" t="str">
            <v>P0401066</v>
          </cell>
          <cell r="B1169" t="str">
            <v>Material</v>
          </cell>
          <cell r="C1169" t="str">
            <v>Acero G-60, Long. Variable</v>
          </cell>
          <cell r="D1169">
            <v>1.2425999999999999</v>
          </cell>
          <cell r="E1169" t="str">
            <v>qq</v>
          </cell>
          <cell r="F1169">
            <v>2285</v>
          </cell>
          <cell r="G1169">
            <v>2839.3409999999999</v>
          </cell>
          <cell r="H1169">
            <v>511.08137999999997</v>
          </cell>
          <cell r="I1169">
            <v>3350.42238</v>
          </cell>
        </row>
        <row r="1170">
          <cell r="A1170" t="str">
            <v>P0418006</v>
          </cell>
          <cell r="B1170" t="str">
            <v>Material</v>
          </cell>
          <cell r="C1170" t="str">
            <v>Alambre galvanizado liso #18</v>
          </cell>
          <cell r="D1170">
            <v>2.3668</v>
          </cell>
          <cell r="E1170" t="str">
            <v>lb</v>
          </cell>
          <cell r="F1170">
            <v>42.28</v>
          </cell>
          <cell r="G1170">
            <v>100.068304</v>
          </cell>
          <cell r="H1170">
            <v>18.01229472</v>
          </cell>
          <cell r="I1170">
            <v>118.08059872</v>
          </cell>
        </row>
        <row r="1171">
          <cell r="A1171">
            <v>0</v>
          </cell>
          <cell r="B1171">
            <v>0</v>
          </cell>
          <cell r="C1171" t="str">
            <v>Total HAISLT016</v>
          </cell>
          <cell r="D1171">
            <v>0.12</v>
          </cell>
          <cell r="E1171">
            <v>0</v>
          </cell>
          <cell r="F1171">
            <v>0</v>
          </cell>
          <cell r="G1171">
            <v>7530.7632040000008</v>
          </cell>
          <cell r="H1171">
            <v>1251.5873767199998</v>
          </cell>
          <cell r="I1171">
            <v>8782.3505807200017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HAISLF009</v>
          </cell>
          <cell r="B1173" t="str">
            <v>Partida</v>
          </cell>
          <cell r="C1173" t="str">
            <v>Losa Fondo e=15 m, D2.3xD2.3 (150x150) H-210</v>
          </cell>
          <cell r="D1173">
            <v>0.12</v>
          </cell>
          <cell r="E1173" t="str">
            <v>m³</v>
          </cell>
          <cell r="F1173">
            <v>0</v>
          </cell>
          <cell r="G1173">
            <v>5262.740151375001</v>
          </cell>
          <cell r="H1173">
            <v>843.34322724749995</v>
          </cell>
          <cell r="I1173">
            <v>6106.0833786225003</v>
          </cell>
        </row>
        <row r="1174">
          <cell r="A1174" t="str">
            <v>P2101223</v>
          </cell>
          <cell r="B1174" t="str">
            <v>Auxiliar</v>
          </cell>
          <cell r="C1174" t="str">
            <v>Hormigón H210 Ligado en Obra</v>
          </cell>
          <cell r="D1174">
            <v>1.05</v>
          </cell>
          <cell r="E1174" t="str">
            <v>m³</v>
          </cell>
          <cell r="F1174">
            <v>4372.7180000000008</v>
          </cell>
          <cell r="G1174">
            <v>4591.353900000001</v>
          </cell>
          <cell r="H1174">
            <v>722.49370199999998</v>
          </cell>
          <cell r="I1174">
            <v>5313.8476020000007</v>
          </cell>
        </row>
        <row r="1175">
          <cell r="A1175" t="str">
            <v>P0402002</v>
          </cell>
          <cell r="B1175" t="str">
            <v>Material</v>
          </cell>
          <cell r="C1175" t="str">
            <v>Acero Malla D2.3xD2.3 (150x150)  Rollo 2.5x40=3.32qq</v>
          </cell>
          <cell r="D1175">
            <v>6.6666999999999996</v>
          </cell>
          <cell r="E1175" t="str">
            <v>m²</v>
          </cell>
          <cell r="F1175">
            <v>97.78125</v>
          </cell>
          <cell r="G1175">
            <v>651.87825937499997</v>
          </cell>
          <cell r="H1175">
            <v>117.3380866875</v>
          </cell>
          <cell r="I1175">
            <v>769.21634606249995</v>
          </cell>
        </row>
        <row r="1176">
          <cell r="A1176" t="str">
            <v>P0418006</v>
          </cell>
          <cell r="B1176" t="str">
            <v>Material</v>
          </cell>
          <cell r="C1176" t="str">
            <v>Alambre galvanizado liso #18</v>
          </cell>
          <cell r="D1176">
            <v>0.46139999999999998</v>
          </cell>
          <cell r="E1176" t="str">
            <v>lb</v>
          </cell>
          <cell r="F1176">
            <v>42.28</v>
          </cell>
          <cell r="G1176">
            <v>19.507991999999998</v>
          </cell>
          <cell r="H1176">
            <v>3.5114385599999993</v>
          </cell>
          <cell r="I1176">
            <v>23.019430559999996</v>
          </cell>
        </row>
        <row r="1177">
          <cell r="A1177">
            <v>0</v>
          </cell>
          <cell r="B1177">
            <v>0</v>
          </cell>
          <cell r="C1177" t="str">
            <v>Total HAISLF009</v>
          </cell>
          <cell r="D1177">
            <v>0.12</v>
          </cell>
          <cell r="E1177">
            <v>0</v>
          </cell>
          <cell r="F1177">
            <v>0</v>
          </cell>
          <cell r="G1177">
            <v>5262.740151375001</v>
          </cell>
          <cell r="H1177">
            <v>843.34322724749995</v>
          </cell>
          <cell r="I1177">
            <v>6106.0833786225003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H122012</v>
          </cell>
          <cell r="B1179" t="str">
            <v>Mano de obra</v>
          </cell>
          <cell r="C1179" t="str">
            <v>M.O. Construcción Registro 60x60x100</v>
          </cell>
          <cell r="D1179">
            <v>1</v>
          </cell>
          <cell r="E1179" t="str">
            <v>u</v>
          </cell>
          <cell r="F1179">
            <v>2700</v>
          </cell>
          <cell r="G1179">
            <v>2700</v>
          </cell>
          <cell r="H1179">
            <v>0</v>
          </cell>
          <cell r="I1179">
            <v>2700</v>
          </cell>
        </row>
        <row r="1180">
          <cell r="A1180" t="str">
            <v>H%FH</v>
          </cell>
          <cell r="B1180" t="str">
            <v>Otros</v>
          </cell>
          <cell r="C1180" t="str">
            <v>Factor Herramientas</v>
          </cell>
          <cell r="D1180">
            <v>1</v>
          </cell>
          <cell r="E1180" t="str">
            <v>%</v>
          </cell>
          <cell r="F1180">
            <v>2700</v>
          </cell>
          <cell r="G1180">
            <v>27</v>
          </cell>
          <cell r="H1180">
            <v>0</v>
          </cell>
          <cell r="I1180">
            <v>27</v>
          </cell>
        </row>
        <row r="1181">
          <cell r="A1181">
            <v>0</v>
          </cell>
          <cell r="B1181">
            <v>0</v>
          </cell>
          <cell r="C1181" t="str">
            <v>Total 01.17.04</v>
          </cell>
          <cell r="D1181">
            <v>1</v>
          </cell>
          <cell r="E1181">
            <v>0</v>
          </cell>
          <cell r="G1181">
            <v>6353.1132490850005</v>
          </cell>
          <cell r="H1181">
            <v>597.5523448353</v>
          </cell>
          <cell r="I1181">
            <v>6950.6655939203001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01.17.05</v>
          </cell>
          <cell r="B1183" t="str">
            <v>Partida</v>
          </cell>
          <cell r="C1183" t="str">
            <v>Facias en tola para tapar tuberias colgantes</v>
          </cell>
          <cell r="D1183">
            <v>1</v>
          </cell>
          <cell r="E1183" t="str">
            <v>m²</v>
          </cell>
          <cell r="F1183">
            <v>0</v>
          </cell>
          <cell r="G1183">
            <v>2100</v>
          </cell>
          <cell r="H1183">
            <v>0</v>
          </cell>
          <cell r="I1183">
            <v>2100</v>
          </cell>
        </row>
        <row r="1184">
          <cell r="A1184" t="str">
            <v>O115178</v>
          </cell>
          <cell r="B1184" t="str">
            <v>Otros</v>
          </cell>
          <cell r="C1184" t="str">
            <v>Sum./ Instalación Facias en tola para tapar tuberias colgantes</v>
          </cell>
          <cell r="D1184">
            <v>1</v>
          </cell>
          <cell r="E1184" t="str">
            <v>m²</v>
          </cell>
          <cell r="F1184">
            <v>2100</v>
          </cell>
          <cell r="G1184">
            <v>2100</v>
          </cell>
          <cell r="H1184">
            <v>0</v>
          </cell>
          <cell r="I1184">
            <v>2100</v>
          </cell>
        </row>
        <row r="1185">
          <cell r="A1185">
            <v>0</v>
          </cell>
          <cell r="B1185">
            <v>0</v>
          </cell>
          <cell r="C1185" t="str">
            <v>Total 01.17.05</v>
          </cell>
          <cell r="D1185">
            <v>1</v>
          </cell>
          <cell r="E1185">
            <v>0</v>
          </cell>
          <cell r="F1185">
            <v>0</v>
          </cell>
          <cell r="G1185">
            <v>2100</v>
          </cell>
          <cell r="H1185">
            <v>0</v>
          </cell>
          <cell r="I1185">
            <v>2100</v>
          </cell>
        </row>
        <row r="1186">
          <cell r="A1186" t="str">
            <v>01.17.06</v>
          </cell>
          <cell r="B1186" t="str">
            <v>Partida</v>
          </cell>
          <cell r="C1186" t="str">
            <v>Imbornal de dos rejillas. Con cámara de cantación y cámara de agua.</v>
          </cell>
          <cell r="D1186">
            <v>1</v>
          </cell>
          <cell r="E1186" t="str">
            <v>u</v>
          </cell>
          <cell r="F1186">
            <v>0</v>
          </cell>
          <cell r="G1186">
            <v>34102.493034199448</v>
          </cell>
          <cell r="H1186">
            <v>2596.6514098003504</v>
          </cell>
          <cell r="I1186">
            <v>36699.144443999801</v>
          </cell>
        </row>
        <row r="1187">
          <cell r="A1187" t="str">
            <v>SCMT007</v>
          </cell>
          <cell r="B1187" t="str">
            <v>Otros</v>
          </cell>
          <cell r="C1187" t="str">
            <v>Sub-Contrato Excavación de Zapatas c/ Compresor</v>
          </cell>
          <cell r="D1187">
            <v>3.2928000000000002</v>
          </cell>
          <cell r="E1187" t="str">
            <v>m³</v>
          </cell>
          <cell r="F1187">
            <v>1300</v>
          </cell>
          <cell r="G1187">
            <v>4280.6400000000003</v>
          </cell>
          <cell r="H1187">
            <v>0</v>
          </cell>
          <cell r="I1187">
            <v>4280.6400000000003</v>
          </cell>
        </row>
        <row r="1188">
          <cell r="A1188" t="str">
            <v>SCMT003</v>
          </cell>
          <cell r="B1188" t="str">
            <v>Otros</v>
          </cell>
          <cell r="C1188" t="str">
            <v>Sub-Contrato Bote de Material Producto de Excavación @5 Km</v>
          </cell>
          <cell r="D1188">
            <v>4.28</v>
          </cell>
          <cell r="E1188" t="str">
            <v>m³</v>
          </cell>
          <cell r="F1188">
            <v>267.76271186440675</v>
          </cell>
          <cell r="G1188">
            <v>1146.0244067796609</v>
          </cell>
          <cell r="H1188">
            <v>0</v>
          </cell>
          <cell r="I1188">
            <v>1146.0244067796609</v>
          </cell>
        </row>
        <row r="1189">
          <cell r="A1189" t="str">
            <v>HAISLT020</v>
          </cell>
          <cell r="B1189" t="str">
            <v>Partida</v>
          </cell>
          <cell r="C1189" t="str">
            <v>Losa T Reg e15  D2.3xD2.3 (150x150) H-210 (q=.6080qq/m³)</v>
          </cell>
          <cell r="D1189">
            <v>0.28999999999999998</v>
          </cell>
          <cell r="E1189" t="str">
            <v>m³</v>
          </cell>
          <cell r="F1189">
            <v>0</v>
          </cell>
          <cell r="G1189">
            <v>4702.217380000001</v>
          </cell>
          <cell r="H1189">
            <v>742.44912839999995</v>
          </cell>
          <cell r="I1189">
            <v>5444.6665084000006</v>
          </cell>
        </row>
        <row r="1190">
          <cell r="A1190" t="str">
            <v>P0402002</v>
          </cell>
          <cell r="B1190" t="str">
            <v>Material</v>
          </cell>
          <cell r="C1190" t="str">
            <v>Acero Malla D2.3xD2.3 (150x150)  Rollo 2.5x40=3.32qq</v>
          </cell>
          <cell r="D1190">
            <v>0.60799999999999998</v>
          </cell>
          <cell r="E1190" t="str">
            <v>m²</v>
          </cell>
          <cell r="F1190">
            <v>97.78125</v>
          </cell>
          <cell r="G1190">
            <v>59.451000000000001</v>
          </cell>
          <cell r="H1190">
            <v>10.701179999999999</v>
          </cell>
          <cell r="I1190">
            <v>70.152180000000001</v>
          </cell>
        </row>
        <row r="1191">
          <cell r="A1191" t="str">
            <v>P0418006</v>
          </cell>
          <cell r="B1191" t="str">
            <v>Material</v>
          </cell>
          <cell r="C1191" t="str">
            <v>Alambre galvanizado liso #18</v>
          </cell>
          <cell r="D1191">
            <v>1.216</v>
          </cell>
          <cell r="E1191" t="str">
            <v>lb</v>
          </cell>
          <cell r="F1191">
            <v>42.28</v>
          </cell>
          <cell r="G1191">
            <v>51.412480000000002</v>
          </cell>
          <cell r="H1191">
            <v>9.2542463999999995</v>
          </cell>
          <cell r="I1191">
            <v>60.666726400000002</v>
          </cell>
        </row>
        <row r="1192">
          <cell r="A1192" t="str">
            <v>P2101223</v>
          </cell>
          <cell r="B1192" t="str">
            <v>Auxiliar</v>
          </cell>
          <cell r="C1192" t="str">
            <v>Hormigón H210 Ligado en Obra</v>
          </cell>
          <cell r="D1192">
            <v>1.05</v>
          </cell>
          <cell r="E1192" t="str">
            <v>m³</v>
          </cell>
          <cell r="F1192">
            <v>4372.7180000000008</v>
          </cell>
          <cell r="G1192">
            <v>4591.353900000001</v>
          </cell>
          <cell r="H1192">
            <v>722.49370199999998</v>
          </cell>
          <cell r="I1192">
            <v>5313.8476020000007</v>
          </cell>
        </row>
        <row r="1193">
          <cell r="A1193">
            <v>0</v>
          </cell>
          <cell r="B1193">
            <v>0</v>
          </cell>
          <cell r="C1193" t="str">
            <v>Total HAISLT020</v>
          </cell>
          <cell r="D1193">
            <v>0.28999999999999998</v>
          </cell>
          <cell r="E1193">
            <v>0</v>
          </cell>
          <cell r="G1193">
            <v>4702.217380000001</v>
          </cell>
          <cell r="H1193">
            <v>742.44912839999995</v>
          </cell>
          <cell r="I1193">
            <v>5444.6665084000006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HAISLF020</v>
          </cell>
          <cell r="B1195" t="str">
            <v>Partida</v>
          </cell>
          <cell r="C1195" t="str">
            <v>Losa F Reg e15 D2.3xD2.3 H-210 LO (q=.2850qq/m³)</v>
          </cell>
          <cell r="D1195">
            <v>0.28999999999999998</v>
          </cell>
          <cell r="E1195" t="str">
            <v>m²</v>
          </cell>
          <cell r="F1195">
            <v>0</v>
          </cell>
          <cell r="G1195">
            <v>4643.321156250001</v>
          </cell>
          <cell r="H1195">
            <v>731.84780812500003</v>
          </cell>
          <cell r="I1195">
            <v>5375.1689643750005</v>
          </cell>
        </row>
        <row r="1196">
          <cell r="A1196" t="str">
            <v>P0402002</v>
          </cell>
          <cell r="B1196" t="str">
            <v>Material</v>
          </cell>
          <cell r="C1196" t="str">
            <v>Acero Malla D2.3xD2.3 (150x150)  Rollo 2.5x40=3.32qq</v>
          </cell>
          <cell r="D1196">
            <v>0.28499999999999998</v>
          </cell>
          <cell r="E1196" t="str">
            <v>m²</v>
          </cell>
          <cell r="F1196">
            <v>97.78125</v>
          </cell>
          <cell r="G1196">
            <v>27.867656249999996</v>
          </cell>
          <cell r="H1196">
            <v>5.0161781249999988</v>
          </cell>
          <cell r="I1196">
            <v>32.883834374999992</v>
          </cell>
        </row>
        <row r="1197">
          <cell r="A1197" t="str">
            <v>P0418006</v>
          </cell>
          <cell r="B1197" t="str">
            <v>Material</v>
          </cell>
          <cell r="C1197" t="str">
            <v>Alambre galvanizado liso #18</v>
          </cell>
          <cell r="D1197">
            <v>0.56999999999999995</v>
          </cell>
          <cell r="E1197" t="str">
            <v>lb</v>
          </cell>
          <cell r="F1197">
            <v>42.28</v>
          </cell>
          <cell r="G1197">
            <v>24.099599999999999</v>
          </cell>
          <cell r="H1197">
            <v>4.3379279999999998</v>
          </cell>
          <cell r="I1197">
            <v>28.437528</v>
          </cell>
        </row>
        <row r="1198">
          <cell r="A1198" t="str">
            <v>P2101223</v>
          </cell>
          <cell r="B1198" t="str">
            <v>Auxiliar</v>
          </cell>
          <cell r="C1198" t="str">
            <v>Hormigón H210 Ligado en Obra</v>
          </cell>
          <cell r="D1198">
            <v>1.05</v>
          </cell>
          <cell r="E1198" t="str">
            <v>m³</v>
          </cell>
          <cell r="F1198">
            <v>4372.7180000000008</v>
          </cell>
          <cell r="G1198">
            <v>4591.353900000001</v>
          </cell>
          <cell r="H1198">
            <v>722.49370199999998</v>
          </cell>
          <cell r="I1198">
            <v>5313.8476020000007</v>
          </cell>
        </row>
        <row r="1199">
          <cell r="A1199">
            <v>0</v>
          </cell>
          <cell r="B1199">
            <v>0</v>
          </cell>
          <cell r="C1199" t="str">
            <v>Total HAISLF020</v>
          </cell>
          <cell r="D1199">
            <v>0.28999999999999998</v>
          </cell>
          <cell r="E1199">
            <v>0</v>
          </cell>
          <cell r="G1199">
            <v>4643.321156250001</v>
          </cell>
          <cell r="H1199">
            <v>731.84780812500003</v>
          </cell>
          <cell r="I1199">
            <v>5375.1689643750005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02.04.45</v>
          </cell>
          <cell r="B1201" t="str">
            <v>Partida</v>
          </cell>
          <cell r="C1201" t="str">
            <v>Blocks de 6" (bastones @ 0.60 mts - sin mano de obra)</v>
          </cell>
          <cell r="D1201">
            <v>6.25</v>
          </cell>
          <cell r="E1201" t="str">
            <v>m²</v>
          </cell>
          <cell r="F1201">
            <v>0</v>
          </cell>
          <cell r="G1201">
            <v>656.04954069999997</v>
          </cell>
          <cell r="H1201">
            <v>109.586408076</v>
          </cell>
          <cell r="I1201">
            <v>765.63594877599996</v>
          </cell>
        </row>
        <row r="1202">
          <cell r="A1202" t="str">
            <v>P1805011</v>
          </cell>
          <cell r="B1202" t="str">
            <v>Material</v>
          </cell>
          <cell r="C1202" t="str">
            <v>Bloque de hormigón de 6"</v>
          </cell>
          <cell r="D1202">
            <v>13.75</v>
          </cell>
          <cell r="E1202" t="str">
            <v>u</v>
          </cell>
          <cell r="F1202">
            <v>23.52</v>
          </cell>
          <cell r="G1202">
            <v>323.39999999999998</v>
          </cell>
          <cell r="H1202">
            <v>58.211999999999996</v>
          </cell>
          <cell r="I1202">
            <v>381.61199999999997</v>
          </cell>
        </row>
        <row r="1203">
          <cell r="A1203" t="str">
            <v>A0120</v>
          </cell>
          <cell r="B1203" t="str">
            <v>Auxiliar</v>
          </cell>
          <cell r="C1203" t="str">
            <v>Mezcla de Mortero 1:3</v>
          </cell>
          <cell r="D1203">
            <v>3.15E-2</v>
          </cell>
          <cell r="E1203" t="str">
            <v>m³</v>
          </cell>
          <cell r="F1203">
            <v>4760.5050000000001</v>
          </cell>
          <cell r="G1203">
            <v>149.9559075</v>
          </cell>
          <cell r="H1203">
            <v>25.147754099999997</v>
          </cell>
          <cell r="I1203">
            <v>175.10366159999998</v>
          </cell>
        </row>
        <row r="1204">
          <cell r="A1204" t="str">
            <v>P0109018</v>
          </cell>
          <cell r="B1204" t="str">
            <v>Auxiliar</v>
          </cell>
          <cell r="C1204" t="str">
            <v>Hormigón In Situ fc=120Kg/Cm²  Agreg 3/8@1/2</v>
          </cell>
          <cell r="D1204">
            <v>2.7400000000000001E-2</v>
          </cell>
          <cell r="E1204" t="str">
            <v>m³</v>
          </cell>
          <cell r="F1204">
            <v>4435.2180000000008</v>
          </cell>
          <cell r="G1204">
            <v>121.52497320000002</v>
          </cell>
          <cell r="H1204">
            <v>15.216295175999997</v>
          </cell>
          <cell r="I1204">
            <v>136.74126837600002</v>
          </cell>
        </row>
        <row r="1205">
          <cell r="A1205" t="str">
            <v>P0401066</v>
          </cell>
          <cell r="B1205" t="str">
            <v>Material</v>
          </cell>
          <cell r="C1205" t="str">
            <v>Acero G-60, Long. Variable</v>
          </cell>
          <cell r="D1205">
            <v>2.5899999999999999E-2</v>
          </cell>
          <cell r="E1205" t="str">
            <v>qq</v>
          </cell>
          <cell r="F1205">
            <v>2285</v>
          </cell>
          <cell r="G1205">
            <v>59.1815</v>
          </cell>
          <cell r="H1205">
            <v>10.652669999999999</v>
          </cell>
          <cell r="I1205">
            <v>69.83417</v>
          </cell>
        </row>
        <row r="1206">
          <cell r="A1206" t="str">
            <v>P0418006</v>
          </cell>
          <cell r="B1206" t="str">
            <v>Material</v>
          </cell>
          <cell r="C1206" t="str">
            <v>Alambre galvanizado liso #18</v>
          </cell>
          <cell r="D1206">
            <v>4.7E-2</v>
          </cell>
          <cell r="E1206" t="str">
            <v>lb</v>
          </cell>
          <cell r="F1206">
            <v>42.28</v>
          </cell>
          <cell r="G1206">
            <v>1.98716</v>
          </cell>
          <cell r="H1206">
            <v>0.35768879999999997</v>
          </cell>
          <cell r="I1206">
            <v>2.3448487999999998</v>
          </cell>
        </row>
        <row r="1207">
          <cell r="A1207">
            <v>0</v>
          </cell>
          <cell r="B1207">
            <v>0</v>
          </cell>
          <cell r="C1207" t="str">
            <v>Total 02.04.45</v>
          </cell>
          <cell r="D1207">
            <v>6.25</v>
          </cell>
          <cell r="E1207">
            <v>0</v>
          </cell>
          <cell r="F1207">
            <v>0</v>
          </cell>
          <cell r="G1207">
            <v>656.04954069999997</v>
          </cell>
          <cell r="H1207">
            <v>109.586408076</v>
          </cell>
          <cell r="I1207">
            <v>765.63594877599996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TSUPUFIN01</v>
          </cell>
          <cell r="B1209" t="str">
            <v>Partida</v>
          </cell>
          <cell r="C1209" t="str">
            <v>Fino en fondo</v>
          </cell>
          <cell r="D1209">
            <v>1.21</v>
          </cell>
          <cell r="E1209" t="str">
            <v>m²</v>
          </cell>
          <cell r="F1209">
            <v>0</v>
          </cell>
          <cell r="G1209">
            <v>5351.6709574999995</v>
          </cell>
          <cell r="H1209">
            <v>963.30077234999999</v>
          </cell>
          <cell r="I1209">
            <v>6314.97172985</v>
          </cell>
        </row>
        <row r="1210">
          <cell r="A1210" t="str">
            <v>I0070</v>
          </cell>
          <cell r="B1210" t="str">
            <v>Auxiliar</v>
          </cell>
          <cell r="C1210" t="str">
            <v>Mortero 1:5 (Fino de techo)</v>
          </cell>
          <cell r="D1210">
            <v>5.2499999999999998E-2</v>
          </cell>
          <cell r="E1210" t="str">
            <v>m³</v>
          </cell>
          <cell r="F1210">
            <v>5084.723</v>
          </cell>
          <cell r="G1210">
            <v>266.94795749999997</v>
          </cell>
          <cell r="H1210">
            <v>48.050632350000001</v>
          </cell>
          <cell r="I1210">
            <v>314.99858984999997</v>
          </cell>
        </row>
        <row r="1211">
          <cell r="A1211" t="str">
            <v>P0201008</v>
          </cell>
          <cell r="B1211" t="str">
            <v>Material</v>
          </cell>
          <cell r="C1211" t="str">
            <v>Arena Itabo Lavada</v>
          </cell>
          <cell r="D1211">
            <v>1.2749999999999999</v>
          </cell>
          <cell r="E1211" t="str">
            <v>m³</v>
          </cell>
          <cell r="F1211">
            <v>930.76</v>
          </cell>
          <cell r="G1211">
            <v>1186.7189999999998</v>
          </cell>
          <cell r="H1211">
            <v>213.60941999999997</v>
          </cell>
          <cell r="I1211">
            <v>1400.3284199999998</v>
          </cell>
        </row>
        <row r="1212">
          <cell r="A1212" t="str">
            <v>P0601003</v>
          </cell>
          <cell r="B1212" t="str">
            <v>Material</v>
          </cell>
          <cell r="C1212" t="str">
            <v>Cemento Gris 94 lbs. Tipo Portland</v>
          </cell>
          <cell r="D1212">
            <v>11</v>
          </cell>
          <cell r="E1212" t="str">
            <v>fd</v>
          </cell>
          <cell r="F1212">
            <v>295</v>
          </cell>
          <cell r="G1212">
            <v>3245</v>
          </cell>
          <cell r="H1212">
            <v>584.1</v>
          </cell>
          <cell r="I1212">
            <v>3829.1</v>
          </cell>
        </row>
        <row r="1213">
          <cell r="A1213" t="str">
            <v>P0603001</v>
          </cell>
          <cell r="B1213" t="str">
            <v>Material</v>
          </cell>
          <cell r="C1213" t="str">
            <v>Cal hidratada, funda de 50 Lbs</v>
          </cell>
          <cell r="D1213">
            <v>3.06</v>
          </cell>
          <cell r="E1213" t="str">
            <v>fd</v>
          </cell>
          <cell r="F1213">
            <v>213.4</v>
          </cell>
          <cell r="G1213">
            <v>653.00400000000002</v>
          </cell>
          <cell r="H1213">
            <v>117.54071999999999</v>
          </cell>
          <cell r="I1213">
            <v>770.54471999999998</v>
          </cell>
        </row>
        <row r="1214">
          <cell r="A1214" t="str">
            <v>P2403199</v>
          </cell>
          <cell r="B1214" t="str">
            <v>Material</v>
          </cell>
          <cell r="C1214" t="str">
            <v>Agua</v>
          </cell>
          <cell r="D1214">
            <v>0</v>
          </cell>
          <cell r="E1214" t="str">
            <v>gl</v>
          </cell>
          <cell r="F1214">
            <v>1.58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>
            <v>0</v>
          </cell>
          <cell r="B1216">
            <v>0</v>
          </cell>
          <cell r="C1216" t="str">
            <v>Total TSUPUFIN01</v>
          </cell>
          <cell r="D1216">
            <v>1.21</v>
          </cell>
          <cell r="E1216">
            <v>0</v>
          </cell>
          <cell r="F1216">
            <v>0</v>
          </cell>
          <cell r="G1216">
            <v>5351.6709574999995</v>
          </cell>
          <cell r="H1216">
            <v>963.30077234999999</v>
          </cell>
          <cell r="I1216">
            <v>6314.97172985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TSISP002.NC</v>
          </cell>
          <cell r="B1218" t="str">
            <v>Partida</v>
          </cell>
          <cell r="C1218" t="str">
            <v>Pañete Pulido (sin Mano De Obra) e=1.75cm</v>
          </cell>
          <cell r="D1218">
            <v>6.05</v>
          </cell>
          <cell r="E1218" t="str">
            <v>m²</v>
          </cell>
          <cell r="F1218">
            <v>0</v>
          </cell>
          <cell r="G1218">
            <v>118.33629999999999</v>
          </cell>
          <cell r="H1218">
            <v>21.300533999999999</v>
          </cell>
          <cell r="I1218">
            <v>139.63683399999999</v>
          </cell>
        </row>
        <row r="1219">
          <cell r="A1219" t="str">
            <v>P0603001</v>
          </cell>
          <cell r="B1219" t="str">
            <v>Material</v>
          </cell>
          <cell r="C1219" t="str">
            <v>Cal hidratada, funda de 50 Lbs</v>
          </cell>
          <cell r="D1219">
            <v>4.2000000000000003E-2</v>
          </cell>
          <cell r="E1219" t="str">
            <v>fd</v>
          </cell>
          <cell r="F1219">
            <v>213.4</v>
          </cell>
          <cell r="G1219">
            <v>8.9628000000000014</v>
          </cell>
          <cell r="H1219">
            <v>1.6133040000000003</v>
          </cell>
          <cell r="I1219">
            <v>10.576104000000001</v>
          </cell>
        </row>
        <row r="1220">
          <cell r="A1220" t="str">
            <v>P0601003</v>
          </cell>
          <cell r="B1220" t="str">
            <v>Material</v>
          </cell>
          <cell r="C1220" t="str">
            <v>Cemento Gris 94 lbs. Tipo Portland</v>
          </cell>
          <cell r="D1220">
            <v>0.22750000000000001</v>
          </cell>
          <cell r="E1220" t="str">
            <v>fd</v>
          </cell>
          <cell r="F1220">
            <v>295</v>
          </cell>
          <cell r="G1220">
            <v>67.112499999999997</v>
          </cell>
          <cell r="H1220">
            <v>12.080249999999999</v>
          </cell>
          <cell r="I1220">
            <v>79.19274999999999</v>
          </cell>
        </row>
        <row r="1221">
          <cell r="A1221" t="str">
            <v>P0201005</v>
          </cell>
          <cell r="B1221" t="str">
            <v>Material</v>
          </cell>
          <cell r="C1221" t="str">
            <v>Arena fina p/pañete</v>
          </cell>
          <cell r="D1221">
            <v>1.7999999999999999E-2</v>
          </cell>
          <cell r="E1221" t="str">
            <v>m³</v>
          </cell>
          <cell r="F1221">
            <v>1200</v>
          </cell>
          <cell r="G1221">
            <v>21.599999999999998</v>
          </cell>
          <cell r="H1221">
            <v>3.8879999999999995</v>
          </cell>
          <cell r="I1221">
            <v>25.487999999999996</v>
          </cell>
        </row>
        <row r="1222">
          <cell r="A1222" t="str">
            <v>P2403199</v>
          </cell>
          <cell r="B1222" t="str">
            <v>Material</v>
          </cell>
          <cell r="C1222" t="str">
            <v>Agua</v>
          </cell>
          <cell r="D1222">
            <v>0.9</v>
          </cell>
          <cell r="E1222" t="str">
            <v>gl</v>
          </cell>
          <cell r="F1222">
            <v>1.58</v>
          </cell>
          <cell r="G1222">
            <v>1.4220000000000002</v>
          </cell>
          <cell r="H1222">
            <v>0.25596000000000002</v>
          </cell>
          <cell r="I1222">
            <v>1.6779600000000001</v>
          </cell>
        </row>
        <row r="1223">
          <cell r="A1223" t="str">
            <v>P0701003</v>
          </cell>
          <cell r="B1223" t="str">
            <v>Material</v>
          </cell>
          <cell r="C1223" t="str">
            <v>Regla para pañete de PATC</v>
          </cell>
          <cell r="D1223">
            <v>0.3498</v>
          </cell>
          <cell r="E1223" t="str">
            <v>p²</v>
          </cell>
          <cell r="F1223">
            <v>55.000000000000007</v>
          </cell>
          <cell r="G1223">
            <v>19.239000000000001</v>
          </cell>
          <cell r="H1223">
            <v>3.4630200000000002</v>
          </cell>
          <cell r="I1223">
            <v>22.702020000000001</v>
          </cell>
        </row>
        <row r="1224">
          <cell r="A1224">
            <v>0</v>
          </cell>
          <cell r="B1224">
            <v>0</v>
          </cell>
          <cell r="C1224" t="str">
            <v>Total TSISP002.NC</v>
          </cell>
          <cell r="D1224">
            <v>6.05</v>
          </cell>
          <cell r="E1224">
            <v>0</v>
          </cell>
          <cell r="G1224">
            <v>118.33629999999999</v>
          </cell>
          <cell r="H1224">
            <v>21.300533999999999</v>
          </cell>
          <cell r="I1224">
            <v>139.63683399999999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HAVIGAM1520</v>
          </cell>
          <cell r="B1226" t="str">
            <v>Partida</v>
          </cell>
          <cell r="C1226" t="str">
            <v>Viga de amarre 0.15x0.20 m</v>
          </cell>
          <cell r="D1226">
            <v>0.08</v>
          </cell>
          <cell r="E1226" t="str">
            <v>m³</v>
          </cell>
          <cell r="F1226">
            <v>0</v>
          </cell>
          <cell r="G1226">
            <v>13753.061283999999</v>
          </cell>
          <cell r="H1226">
            <v>2371.6010311199998</v>
          </cell>
          <cell r="I1226">
            <v>16124.66231512</v>
          </cell>
        </row>
        <row r="1227">
          <cell r="A1227" t="str">
            <v>P0401066</v>
          </cell>
          <cell r="B1227" t="str">
            <v>Material</v>
          </cell>
          <cell r="C1227" t="str">
            <v>Acero G-60, Long. Variable</v>
          </cell>
          <cell r="D1227">
            <v>3.879</v>
          </cell>
          <cell r="E1227" t="str">
            <v>qq</v>
          </cell>
          <cell r="F1227">
            <v>2285</v>
          </cell>
          <cell r="G1227">
            <v>8863.5149999999994</v>
          </cell>
          <cell r="H1227">
            <v>1595.4326999999998</v>
          </cell>
          <cell r="I1227">
            <v>10458.947699999999</v>
          </cell>
        </row>
        <row r="1228">
          <cell r="A1228" t="str">
            <v>P0418006</v>
          </cell>
          <cell r="B1228" t="str">
            <v>Material</v>
          </cell>
          <cell r="C1228" t="str">
            <v>Alambre galvanizado liso #18</v>
          </cell>
          <cell r="D1228">
            <v>7.0528000000000004</v>
          </cell>
          <cell r="E1228" t="str">
            <v>lb</v>
          </cell>
          <cell r="F1228">
            <v>42.28</v>
          </cell>
          <cell r="G1228">
            <v>298.192384</v>
          </cell>
          <cell r="H1228">
            <v>53.674629119999999</v>
          </cell>
          <cell r="I1228">
            <v>351.86701312000002</v>
          </cell>
        </row>
        <row r="1229">
          <cell r="A1229" t="str">
            <v>P2101223</v>
          </cell>
          <cell r="B1229" t="str">
            <v>Auxiliar</v>
          </cell>
          <cell r="C1229" t="str">
            <v>Hormigón H210 Ligado en Obra</v>
          </cell>
          <cell r="D1229">
            <v>1.05</v>
          </cell>
          <cell r="E1229" t="str">
            <v>m³</v>
          </cell>
          <cell r="F1229">
            <v>4372.7180000000008</v>
          </cell>
          <cell r="G1229">
            <v>4591.353900000001</v>
          </cell>
          <cell r="H1229">
            <v>722.49370199999998</v>
          </cell>
          <cell r="I1229">
            <v>5313.8476020000007</v>
          </cell>
        </row>
        <row r="1230">
          <cell r="A1230">
            <v>0</v>
          </cell>
          <cell r="B1230">
            <v>0</v>
          </cell>
          <cell r="C1230" t="str">
            <v>Total HAVIGAM1520</v>
          </cell>
          <cell r="D1230">
            <v>0.08</v>
          </cell>
          <cell r="E1230">
            <v>0</v>
          </cell>
          <cell r="F1230">
            <v>0</v>
          </cell>
          <cell r="G1230">
            <v>13753.061283999999</v>
          </cell>
          <cell r="H1230">
            <v>2371.6010311199998</v>
          </cell>
          <cell r="I1230">
            <v>16124.66231512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P5210122</v>
          </cell>
          <cell r="B1232" t="str">
            <v>Material</v>
          </cell>
          <cell r="C1232" t="str">
            <v>Tapa de HF 24" pesada</v>
          </cell>
          <cell r="D1232">
            <v>1</v>
          </cell>
          <cell r="E1232" t="str">
            <v>u</v>
          </cell>
          <cell r="F1232">
            <v>7800</v>
          </cell>
          <cell r="G1232">
            <v>7800</v>
          </cell>
          <cell r="H1232">
            <v>1404</v>
          </cell>
          <cell r="I1232">
            <v>9204</v>
          </cell>
        </row>
        <row r="1233">
          <cell r="A1233" t="str">
            <v>P200105</v>
          </cell>
          <cell r="B1233" t="str">
            <v>Material</v>
          </cell>
          <cell r="C1233" t="str">
            <v>Parrilla para imborna  hf l 29''x14''</v>
          </cell>
          <cell r="D1233">
            <v>2</v>
          </cell>
          <cell r="E1233" t="str">
            <v>u</v>
          </cell>
          <cell r="F1233">
            <v>2300</v>
          </cell>
          <cell r="G1233">
            <v>4600</v>
          </cell>
          <cell r="H1233">
            <v>828</v>
          </cell>
          <cell r="I1233">
            <v>5428</v>
          </cell>
        </row>
        <row r="1234">
          <cell r="A1234" t="str">
            <v>H040341</v>
          </cell>
          <cell r="B1234" t="str">
            <v>Mano de obra</v>
          </cell>
          <cell r="C1234" t="str">
            <v>M.O. Construcción imbornal</v>
          </cell>
          <cell r="D1234">
            <v>1</v>
          </cell>
          <cell r="E1234" t="str">
            <v>p.a.</v>
          </cell>
          <cell r="F1234">
            <v>5500</v>
          </cell>
          <cell r="G1234">
            <v>5500</v>
          </cell>
          <cell r="H1234">
            <v>0</v>
          </cell>
          <cell r="I1234">
            <v>5500</v>
          </cell>
        </row>
        <row r="1235">
          <cell r="A1235" t="str">
            <v>H%FH</v>
          </cell>
          <cell r="B1235" t="str">
            <v>Otros</v>
          </cell>
          <cell r="C1235" t="str">
            <v>Factor Herramientas</v>
          </cell>
          <cell r="D1235">
            <v>1</v>
          </cell>
          <cell r="E1235" t="str">
            <v>%</v>
          </cell>
          <cell r="F1235">
            <v>5500</v>
          </cell>
          <cell r="G1235">
            <v>55</v>
          </cell>
          <cell r="H1235">
            <v>0</v>
          </cell>
          <cell r="I1235">
            <v>55</v>
          </cell>
        </row>
        <row r="1236">
          <cell r="A1236">
            <v>0</v>
          </cell>
          <cell r="B1236">
            <v>0</v>
          </cell>
          <cell r="C1236" t="str">
            <v>Total 01.17.06</v>
          </cell>
          <cell r="D1236">
            <v>1</v>
          </cell>
          <cell r="E1236">
            <v>0</v>
          </cell>
          <cell r="F1236">
            <v>0</v>
          </cell>
          <cell r="G1236">
            <v>34102.493034199448</v>
          </cell>
          <cell r="H1236">
            <v>2596.6514098003504</v>
          </cell>
          <cell r="I1236">
            <v>36699.144443999801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01.17.07</v>
          </cell>
          <cell r="B1238" t="str">
            <v>Partida</v>
          </cell>
          <cell r="C1238" t="str">
            <v>Para gomas en parqueos</v>
          </cell>
          <cell r="D1238">
            <v>1</v>
          </cell>
          <cell r="E1238" t="str">
            <v>u</v>
          </cell>
          <cell r="F1238">
            <v>0</v>
          </cell>
          <cell r="G1238">
            <v>2056.5</v>
          </cell>
          <cell r="H1238">
            <v>252</v>
          </cell>
          <cell r="I1238">
            <v>2308.5</v>
          </cell>
        </row>
        <row r="1239">
          <cell r="A1239" t="str">
            <v>P1214515</v>
          </cell>
          <cell r="B1239" t="str">
            <v>Material</v>
          </cell>
          <cell r="C1239" t="str">
            <v>Paragomas en Goma</v>
          </cell>
          <cell r="D1239">
            <v>1</v>
          </cell>
          <cell r="E1239" t="str">
            <v>u</v>
          </cell>
          <cell r="F1239">
            <v>1400</v>
          </cell>
          <cell r="G1239">
            <v>1400</v>
          </cell>
          <cell r="H1239">
            <v>252</v>
          </cell>
          <cell r="I1239">
            <v>1652</v>
          </cell>
        </row>
        <row r="1240">
          <cell r="A1240" t="str">
            <v>H002332</v>
          </cell>
          <cell r="B1240" t="str">
            <v>Mano de obra</v>
          </cell>
          <cell r="C1240" t="str">
            <v>M.O. Instalación de Paragomas</v>
          </cell>
          <cell r="D1240">
            <v>1</v>
          </cell>
          <cell r="E1240" t="str">
            <v>u</v>
          </cell>
          <cell r="F1240">
            <v>650</v>
          </cell>
          <cell r="G1240">
            <v>650</v>
          </cell>
          <cell r="H1240">
            <v>0</v>
          </cell>
          <cell r="I1240">
            <v>650</v>
          </cell>
        </row>
        <row r="1241">
          <cell r="A1241" t="str">
            <v>H%FH</v>
          </cell>
          <cell r="B1241" t="str">
            <v>Otros</v>
          </cell>
          <cell r="C1241" t="str">
            <v>Factor Herramientas</v>
          </cell>
          <cell r="D1241">
            <v>1</v>
          </cell>
          <cell r="E1241" t="str">
            <v>%</v>
          </cell>
          <cell r="F1241">
            <v>650</v>
          </cell>
          <cell r="G1241">
            <v>6.5</v>
          </cell>
          <cell r="H1241">
            <v>0</v>
          </cell>
          <cell r="I1241">
            <v>6.5</v>
          </cell>
        </row>
        <row r="1242">
          <cell r="A1242">
            <v>0</v>
          </cell>
          <cell r="B1242">
            <v>0</v>
          </cell>
          <cell r="C1242" t="str">
            <v>Total 01.17.07</v>
          </cell>
          <cell r="D1242">
            <v>1</v>
          </cell>
          <cell r="E1242">
            <v>0</v>
          </cell>
          <cell r="F1242">
            <v>0</v>
          </cell>
          <cell r="G1242">
            <v>2056.5</v>
          </cell>
          <cell r="H1242">
            <v>252</v>
          </cell>
          <cell r="I1242">
            <v>2308.5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01.17.08</v>
          </cell>
          <cell r="B1244" t="str">
            <v>Partida</v>
          </cell>
          <cell r="C1244" t="str">
            <v>Registro Residual 0.60x0.60x1.00 m</v>
          </cell>
          <cell r="D1244">
            <v>1</v>
          </cell>
          <cell r="E1244" t="str">
            <v>u</v>
          </cell>
          <cell r="F1244">
            <v>6950.66</v>
          </cell>
          <cell r="G1244">
            <v>0</v>
          </cell>
          <cell r="H1244">
            <v>0</v>
          </cell>
          <cell r="I1244">
            <v>6950.66</v>
          </cell>
        </row>
        <row r="1245">
          <cell r="A1245" t="str">
            <v>TSISP002</v>
          </cell>
          <cell r="B1245" t="str">
            <v>Partida</v>
          </cell>
          <cell r="C1245" t="str">
            <v>Pañete Pulido e=1.75cm (Sin M.O.)</v>
          </cell>
          <cell r="D1245">
            <v>2.25</v>
          </cell>
          <cell r="E1245" t="str">
            <v>m²</v>
          </cell>
          <cell r="F1245">
            <v>130.91653959999999</v>
          </cell>
          <cell r="G1245">
            <v>0</v>
          </cell>
          <cell r="H1245">
            <v>0</v>
          </cell>
          <cell r="I1245">
            <v>294.56</v>
          </cell>
        </row>
        <row r="1246">
          <cell r="A1246" t="str">
            <v>P0603001</v>
          </cell>
          <cell r="B1246" t="str">
            <v>Material</v>
          </cell>
          <cell r="C1246" t="str">
            <v>Cal hidratada, funda de 50 Lbs</v>
          </cell>
          <cell r="D1246">
            <v>4.8300000000000003E-2</v>
          </cell>
          <cell r="E1246" t="str">
            <v>fd</v>
          </cell>
          <cell r="F1246">
            <v>213.4</v>
          </cell>
          <cell r="G1246">
            <v>10.307220000000001</v>
          </cell>
          <cell r="H1246">
            <v>1.8552996000000002</v>
          </cell>
          <cell r="I1246">
            <v>12.162519600000001</v>
          </cell>
        </row>
        <row r="1247">
          <cell r="A1247" t="str">
            <v>P0601003</v>
          </cell>
          <cell r="B1247" t="str">
            <v>Material</v>
          </cell>
          <cell r="C1247" t="str">
            <v>Cemento Gris 94 lbs. Tipo Portland</v>
          </cell>
          <cell r="D1247">
            <v>0.24149999999999999</v>
          </cell>
          <cell r="E1247" t="str">
            <v>fd</v>
          </cell>
          <cell r="F1247">
            <v>295</v>
          </cell>
          <cell r="G1247">
            <v>71.242499999999993</v>
          </cell>
          <cell r="H1247">
            <v>12.823649999999999</v>
          </cell>
          <cell r="I1247">
            <v>84.066149999999993</v>
          </cell>
        </row>
        <row r="1248">
          <cell r="A1248" t="str">
            <v>P0201005</v>
          </cell>
          <cell r="B1248" t="str">
            <v>Material</v>
          </cell>
          <cell r="C1248" t="str">
            <v>Arena fina p/pañete</v>
          </cell>
          <cell r="D1248">
            <v>2.1899999999999999E-2</v>
          </cell>
          <cell r="E1248" t="str">
            <v>m³</v>
          </cell>
          <cell r="F1248">
            <v>1200</v>
          </cell>
          <cell r="G1248">
            <v>26.279999999999998</v>
          </cell>
          <cell r="H1248">
            <v>4.7303999999999995</v>
          </cell>
          <cell r="I1248">
            <v>31.010399999999997</v>
          </cell>
        </row>
        <row r="1249">
          <cell r="A1249" t="str">
            <v>P2403199</v>
          </cell>
          <cell r="B1249" t="str">
            <v>Material</v>
          </cell>
          <cell r="C1249" t="str">
            <v>Agua</v>
          </cell>
          <cell r="D1249">
            <v>1.05</v>
          </cell>
          <cell r="E1249" t="str">
            <v>gl</v>
          </cell>
          <cell r="F1249">
            <v>1.58</v>
          </cell>
          <cell r="G1249">
            <v>1.6590000000000003</v>
          </cell>
          <cell r="H1249">
            <v>0.29862000000000005</v>
          </cell>
          <cell r="I1249">
            <v>1.9576200000000004</v>
          </cell>
        </row>
        <row r="1250">
          <cell r="A1250" t="str">
            <v>P0701003</v>
          </cell>
          <cell r="B1250" t="str">
            <v>Material</v>
          </cell>
          <cell r="C1250" t="str">
            <v>Regla para pañete de PATC</v>
          </cell>
          <cell r="D1250">
            <v>2.6499999999999999E-2</v>
          </cell>
          <cell r="E1250" t="str">
            <v>p²</v>
          </cell>
          <cell r="F1250">
            <v>55.000000000000007</v>
          </cell>
          <cell r="G1250">
            <v>1.4575000000000002</v>
          </cell>
          <cell r="H1250">
            <v>0.26235000000000003</v>
          </cell>
          <cell r="I1250">
            <v>1.7198500000000003</v>
          </cell>
        </row>
        <row r="1251">
          <cell r="A1251">
            <v>0</v>
          </cell>
          <cell r="B1251">
            <v>0</v>
          </cell>
          <cell r="C1251" t="str">
            <v>Total TSISP002</v>
          </cell>
          <cell r="D1251">
            <v>2.25</v>
          </cell>
          <cell r="E1251">
            <v>0</v>
          </cell>
          <cell r="F1251">
            <v>130.91653959999999</v>
          </cell>
          <cell r="G1251">
            <v>0</v>
          </cell>
          <cell r="H1251">
            <v>0</v>
          </cell>
          <cell r="I1251">
            <v>294.56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BT5210102</v>
          </cell>
          <cell r="B1253" t="str">
            <v>Partida</v>
          </cell>
          <cell r="C1253" t="str">
            <v>Muro Bloques 15x20x40 SNP V1Ø3/8"G60@80 (Sin M.O.)</v>
          </cell>
          <cell r="D1253">
            <v>2.6</v>
          </cell>
          <cell r="E1253" t="str">
            <v>m²</v>
          </cell>
          <cell r="F1253">
            <v>824.03511719200014</v>
          </cell>
          <cell r="G1253">
            <v>0</v>
          </cell>
          <cell r="H1253">
            <v>0</v>
          </cell>
          <cell r="I1253">
            <v>2142.4899999999998</v>
          </cell>
        </row>
        <row r="1254">
          <cell r="A1254" t="str">
            <v>P1805011</v>
          </cell>
          <cell r="B1254" t="str">
            <v>Material</v>
          </cell>
          <cell r="C1254" t="str">
            <v>Bloque de hormigón de 6"</v>
          </cell>
          <cell r="D1254">
            <v>13.125</v>
          </cell>
          <cell r="E1254" t="str">
            <v>u</v>
          </cell>
          <cell r="F1254">
            <v>23.52</v>
          </cell>
          <cell r="G1254">
            <v>308.7</v>
          </cell>
          <cell r="H1254">
            <v>55.565999999999995</v>
          </cell>
          <cell r="I1254">
            <v>364.26599999999996</v>
          </cell>
        </row>
        <row r="1255">
          <cell r="A1255" t="str">
            <v>P0201008</v>
          </cell>
          <cell r="B1255" t="str">
            <v>Material</v>
          </cell>
          <cell r="C1255" t="str">
            <v>Arena Itabo Lavada</v>
          </cell>
          <cell r="D1255">
            <v>3.49E-2</v>
          </cell>
          <cell r="E1255" t="str">
            <v>m³</v>
          </cell>
          <cell r="F1255">
            <v>930.76</v>
          </cell>
          <cell r="G1255">
            <v>32.483524000000003</v>
          </cell>
          <cell r="H1255">
            <v>5.8470343200000006</v>
          </cell>
          <cell r="I1255">
            <v>38.330558320000002</v>
          </cell>
        </row>
        <row r="1256">
          <cell r="A1256" t="str">
            <v>P0601003</v>
          </cell>
          <cell r="B1256" t="str">
            <v>Material</v>
          </cell>
          <cell r="C1256" t="str">
            <v>Cemento Gris 94 lbs. Tipo Portland</v>
          </cell>
          <cell r="D1256">
            <v>0.30049999999999999</v>
          </cell>
          <cell r="E1256" t="str">
            <v>fd</v>
          </cell>
          <cell r="F1256">
            <v>295</v>
          </cell>
          <cell r="G1256">
            <v>88.647499999999994</v>
          </cell>
          <cell r="H1256">
            <v>15.956549999999998</v>
          </cell>
          <cell r="I1256">
            <v>104.60404999999999</v>
          </cell>
        </row>
        <row r="1257">
          <cell r="A1257" t="str">
            <v>P2403199</v>
          </cell>
          <cell r="B1257" t="str">
            <v>Material</v>
          </cell>
          <cell r="C1257" t="str">
            <v>Agua</v>
          </cell>
          <cell r="D1257">
            <v>1.8720000000000001</v>
          </cell>
          <cell r="E1257" t="str">
            <v>gl</v>
          </cell>
          <cell r="F1257">
            <v>1.58</v>
          </cell>
          <cell r="G1257">
            <v>2.9577600000000004</v>
          </cell>
          <cell r="H1257">
            <v>0.5323968</v>
          </cell>
          <cell r="I1257">
            <v>3.4901568000000003</v>
          </cell>
        </row>
        <row r="1258">
          <cell r="A1258" t="str">
            <v>P0109018</v>
          </cell>
          <cell r="B1258" t="str">
            <v>Auxiliar</v>
          </cell>
          <cell r="C1258" t="str">
            <v>Hormigón In Situ fc=120Kg/Cm²  Agreg 3/8@1/2</v>
          </cell>
          <cell r="D1258">
            <v>4.7800000000000002E-2</v>
          </cell>
          <cell r="E1258" t="str">
            <v>m³</v>
          </cell>
          <cell r="F1258">
            <v>4990.5572400000001</v>
          </cell>
          <cell r="G1258">
            <v>238.54863607200002</v>
          </cell>
          <cell r="H1258">
            <v>0</v>
          </cell>
          <cell r="I1258">
            <v>238.54863607200002</v>
          </cell>
        </row>
        <row r="1259">
          <cell r="A1259" t="str">
            <v>P0601003</v>
          </cell>
          <cell r="B1259" t="str">
            <v>Material</v>
          </cell>
          <cell r="C1259" t="str">
            <v>Cemento Gris 94 lbs. Tipo Portland</v>
          </cell>
          <cell r="D1259">
            <v>6.5</v>
          </cell>
          <cell r="E1259" t="str">
            <v>fd</v>
          </cell>
          <cell r="F1259">
            <v>295</v>
          </cell>
          <cell r="G1259">
            <v>1917.5</v>
          </cell>
          <cell r="H1259">
            <v>345.15</v>
          </cell>
          <cell r="I1259">
            <v>2262.65</v>
          </cell>
        </row>
        <row r="1260">
          <cell r="A1260" t="str">
            <v>P0201008</v>
          </cell>
          <cell r="B1260" t="str">
            <v>Material</v>
          </cell>
          <cell r="C1260" t="str">
            <v>Arena Itabo Lavada</v>
          </cell>
          <cell r="D1260">
            <v>0.55000000000000004</v>
          </cell>
          <cell r="E1260" t="str">
            <v>m³</v>
          </cell>
          <cell r="F1260">
            <v>930.76</v>
          </cell>
          <cell r="G1260">
            <v>511.91800000000006</v>
          </cell>
          <cell r="H1260">
            <v>92.145240000000001</v>
          </cell>
          <cell r="I1260">
            <v>604.06324000000006</v>
          </cell>
        </row>
        <row r="1261">
          <cell r="A1261" t="str">
            <v>P0201007</v>
          </cell>
          <cell r="B1261" t="str">
            <v>Material</v>
          </cell>
          <cell r="C1261" t="str">
            <v>Grava de 1/2"</v>
          </cell>
          <cell r="D1261">
            <v>0.51</v>
          </cell>
          <cell r="E1261" t="str">
            <v>m³</v>
          </cell>
          <cell r="F1261">
            <v>1100</v>
          </cell>
          <cell r="G1261">
            <v>561</v>
          </cell>
          <cell r="H1261">
            <v>100.97999999999999</v>
          </cell>
          <cell r="I1261">
            <v>661.98</v>
          </cell>
        </row>
        <row r="1262">
          <cell r="A1262" t="str">
            <v>P2403199</v>
          </cell>
          <cell r="B1262" t="str">
            <v>Material</v>
          </cell>
          <cell r="C1262" t="str">
            <v>Agua</v>
          </cell>
          <cell r="D1262">
            <v>60</v>
          </cell>
          <cell r="E1262" t="str">
            <v>gl</v>
          </cell>
          <cell r="F1262">
            <v>1.58</v>
          </cell>
          <cell r="G1262">
            <v>94.800000000000011</v>
          </cell>
          <cell r="H1262">
            <v>17.064</v>
          </cell>
          <cell r="I1262">
            <v>111.864</v>
          </cell>
        </row>
        <row r="1263">
          <cell r="A1263" t="str">
            <v>O0202001</v>
          </cell>
          <cell r="B1263" t="str">
            <v>Mano de obra</v>
          </cell>
          <cell r="C1263" t="str">
            <v>M.O. Ligado y Vaciado Con Equipo</v>
          </cell>
          <cell r="D1263">
            <v>1</v>
          </cell>
          <cell r="E1263" t="str">
            <v>m³</v>
          </cell>
          <cell r="F1263">
            <v>1350</v>
          </cell>
          <cell r="G1263">
            <v>1350</v>
          </cell>
          <cell r="H1263">
            <v>0</v>
          </cell>
          <cell r="I1263">
            <v>1350</v>
          </cell>
        </row>
        <row r="1264">
          <cell r="A1264">
            <v>0</v>
          </cell>
          <cell r="B1264">
            <v>0</v>
          </cell>
          <cell r="C1264" t="str">
            <v>Total P0109018</v>
          </cell>
          <cell r="D1264">
            <v>4.7800000000000002E-2</v>
          </cell>
          <cell r="E1264">
            <v>0</v>
          </cell>
          <cell r="F1264">
            <v>4990.5572400000001</v>
          </cell>
          <cell r="G1264">
            <v>0</v>
          </cell>
          <cell r="H1264">
            <v>0</v>
          </cell>
          <cell r="I1264">
            <v>238.55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P0401066</v>
          </cell>
          <cell r="B1266" t="str">
            <v>Material</v>
          </cell>
          <cell r="C1266" t="str">
            <v>Acero G-60, Long. Variable</v>
          </cell>
          <cell r="D1266">
            <v>2.7E-2</v>
          </cell>
          <cell r="E1266" t="str">
            <v>qq</v>
          </cell>
          <cell r="F1266">
            <v>2285</v>
          </cell>
          <cell r="G1266">
            <v>61.695</v>
          </cell>
          <cell r="H1266">
            <v>11.1051</v>
          </cell>
          <cell r="I1266">
            <v>72.8001</v>
          </cell>
        </row>
        <row r="1267">
          <cell r="A1267" t="str">
            <v>P0418006</v>
          </cell>
          <cell r="B1267" t="str">
            <v>Material</v>
          </cell>
          <cell r="C1267" t="str">
            <v>Alambre galvanizado liso #18</v>
          </cell>
          <cell r="D1267">
            <v>0.04</v>
          </cell>
          <cell r="E1267" t="str">
            <v>lb</v>
          </cell>
          <cell r="F1267">
            <v>42.28</v>
          </cell>
          <cell r="G1267">
            <v>1.6912</v>
          </cell>
          <cell r="H1267">
            <v>0.30441600000000002</v>
          </cell>
          <cell r="I1267">
            <v>1.9956160000000001</v>
          </cell>
        </row>
        <row r="1268">
          <cell r="A1268">
            <v>0</v>
          </cell>
          <cell r="B1268">
            <v>0</v>
          </cell>
          <cell r="C1268" t="str">
            <v>Total BT5210102</v>
          </cell>
          <cell r="D1268">
            <v>2.6</v>
          </cell>
          <cell r="E1268">
            <v>0</v>
          </cell>
          <cell r="F1268">
            <v>824.03511719200014</v>
          </cell>
          <cell r="G1268">
            <v>0</v>
          </cell>
          <cell r="H1268">
            <v>0</v>
          </cell>
          <cell r="I1268">
            <v>2142.4899999999998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HAISLT016</v>
          </cell>
          <cell r="B1270" t="str">
            <v>Partida</v>
          </cell>
          <cell r="C1270" t="str">
            <v>Losa Tapa Reg e=10cm G-60H- H210</v>
          </cell>
          <cell r="D1270">
            <v>0.12</v>
          </cell>
          <cell r="E1270" t="str">
            <v>m³</v>
          </cell>
          <cell r="F1270">
            <v>8782.3505807200017</v>
          </cell>
          <cell r="G1270">
            <v>0</v>
          </cell>
          <cell r="H1270">
            <v>0</v>
          </cell>
          <cell r="I1270">
            <v>1053.8800000000001</v>
          </cell>
        </row>
        <row r="1271">
          <cell r="A1271" t="str">
            <v>P2101223</v>
          </cell>
          <cell r="B1271" t="str">
            <v>Auxiliar</v>
          </cell>
          <cell r="C1271" t="str">
            <v>Hormigón H210 Ligado en Obra</v>
          </cell>
          <cell r="D1271">
            <v>1.05</v>
          </cell>
          <cell r="E1271" t="str">
            <v>m³</v>
          </cell>
          <cell r="F1271">
            <v>5060.8072400000001</v>
          </cell>
          <cell r="G1271">
            <v>5313.8476020000007</v>
          </cell>
          <cell r="H1271">
            <v>0</v>
          </cell>
          <cell r="I1271">
            <v>5313.8476020000007</v>
          </cell>
        </row>
        <row r="1272">
          <cell r="A1272" t="str">
            <v>P0201008</v>
          </cell>
          <cell r="B1272" t="str">
            <v>Material</v>
          </cell>
          <cell r="C1272" t="str">
            <v>Arena Itabo Lavada</v>
          </cell>
          <cell r="D1272">
            <v>0.55000000000000004</v>
          </cell>
          <cell r="E1272" t="str">
            <v>m³</v>
          </cell>
          <cell r="F1272">
            <v>930.76</v>
          </cell>
          <cell r="G1272">
            <v>511.91800000000006</v>
          </cell>
          <cell r="H1272">
            <v>92.145240000000001</v>
          </cell>
          <cell r="I1272">
            <v>604.06324000000006</v>
          </cell>
        </row>
        <row r="1273">
          <cell r="A1273" t="str">
            <v>P0201007</v>
          </cell>
          <cell r="B1273" t="str">
            <v>Material</v>
          </cell>
          <cell r="C1273" t="str">
            <v>Grava de 1/2"</v>
          </cell>
          <cell r="D1273">
            <v>0.51</v>
          </cell>
          <cell r="E1273" t="str">
            <v>m³</v>
          </cell>
          <cell r="F1273">
            <v>1100</v>
          </cell>
          <cell r="G1273">
            <v>561</v>
          </cell>
          <cell r="H1273">
            <v>100.97999999999999</v>
          </cell>
          <cell r="I1273">
            <v>661.98</v>
          </cell>
        </row>
        <row r="1274">
          <cell r="A1274" t="str">
            <v>P0601003</v>
          </cell>
          <cell r="B1274" t="str">
            <v>Material</v>
          </cell>
          <cell r="C1274" t="str">
            <v>Cemento Gris 94 lbs. Tipo Portland</v>
          </cell>
          <cell r="D1274">
            <v>9</v>
          </cell>
          <cell r="E1274" t="str">
            <v>fd</v>
          </cell>
          <cell r="F1274">
            <v>295</v>
          </cell>
          <cell r="G1274">
            <v>2655</v>
          </cell>
          <cell r="H1274">
            <v>477.9</v>
          </cell>
          <cell r="I1274">
            <v>3132.9</v>
          </cell>
        </row>
        <row r="1275">
          <cell r="A1275" t="str">
            <v>P2403199</v>
          </cell>
          <cell r="B1275" t="str">
            <v>Material</v>
          </cell>
          <cell r="C1275" t="str">
            <v>Agua</v>
          </cell>
          <cell r="D1275">
            <v>60</v>
          </cell>
          <cell r="E1275" t="str">
            <v>gl</v>
          </cell>
          <cell r="F1275">
            <v>1.58</v>
          </cell>
          <cell r="G1275">
            <v>94.800000000000011</v>
          </cell>
          <cell r="H1275">
            <v>17.064</v>
          </cell>
          <cell r="I1275">
            <v>111.864</v>
          </cell>
        </row>
        <row r="1276">
          <cell r="A1276" t="str">
            <v>P4002000</v>
          </cell>
          <cell r="B1276" t="str">
            <v>Maquinaria</v>
          </cell>
          <cell r="C1276" t="str">
            <v>Ligado y Vaciado Con Equipo</v>
          </cell>
          <cell r="D1276">
            <v>1</v>
          </cell>
          <cell r="E1276" t="str">
            <v>m³</v>
          </cell>
          <cell r="F1276">
            <v>550</v>
          </cell>
          <cell r="G1276">
            <v>550</v>
          </cell>
          <cell r="H1276">
            <v>0</v>
          </cell>
          <cell r="I1276">
            <v>550</v>
          </cell>
        </row>
        <row r="1277">
          <cell r="A1277">
            <v>0</v>
          </cell>
          <cell r="B1277">
            <v>0</v>
          </cell>
          <cell r="C1277" t="str">
            <v>Total P2101223</v>
          </cell>
          <cell r="D1277">
            <v>1.05</v>
          </cell>
          <cell r="E1277">
            <v>0</v>
          </cell>
          <cell r="F1277">
            <v>5060.8072400000001</v>
          </cell>
          <cell r="G1277">
            <v>0</v>
          </cell>
          <cell r="H1277">
            <v>0</v>
          </cell>
          <cell r="I1277">
            <v>5313.85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P0401066</v>
          </cell>
          <cell r="B1279" t="str">
            <v>Material</v>
          </cell>
          <cell r="C1279" t="str">
            <v>Acero G-60, Long. Variable</v>
          </cell>
          <cell r="D1279">
            <v>1.2425999999999999</v>
          </cell>
          <cell r="E1279" t="str">
            <v>qq</v>
          </cell>
          <cell r="F1279">
            <v>2285</v>
          </cell>
          <cell r="G1279">
            <v>2839.3409999999999</v>
          </cell>
          <cell r="H1279">
            <v>511.08137999999997</v>
          </cell>
          <cell r="I1279">
            <v>3350.42238</v>
          </cell>
        </row>
        <row r="1280">
          <cell r="A1280" t="str">
            <v>P0418006</v>
          </cell>
          <cell r="B1280" t="str">
            <v>Material</v>
          </cell>
          <cell r="C1280" t="str">
            <v>Alambre galvanizado liso #18</v>
          </cell>
          <cell r="D1280">
            <v>2.3668</v>
          </cell>
          <cell r="E1280" t="str">
            <v>lb</v>
          </cell>
          <cell r="F1280">
            <v>42.28</v>
          </cell>
          <cell r="G1280">
            <v>100.068304</v>
          </cell>
          <cell r="H1280">
            <v>18.01229472</v>
          </cell>
          <cell r="I1280">
            <v>118.08059872</v>
          </cell>
        </row>
        <row r="1281">
          <cell r="A1281">
            <v>0</v>
          </cell>
          <cell r="B1281">
            <v>0</v>
          </cell>
          <cell r="C1281" t="str">
            <v>Total HAISLT016</v>
          </cell>
          <cell r="D1281">
            <v>0.12</v>
          </cell>
          <cell r="E1281">
            <v>0</v>
          </cell>
          <cell r="F1281">
            <v>8782.3505807200017</v>
          </cell>
          <cell r="G1281">
            <v>0</v>
          </cell>
          <cell r="H1281">
            <v>0</v>
          </cell>
          <cell r="I1281">
            <v>1053.8800000000001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HAISLF009</v>
          </cell>
          <cell r="B1283" t="str">
            <v>Partida</v>
          </cell>
          <cell r="C1283" t="str">
            <v>Losa Fondo e=15 m, D2.3xD2.3 (150x150) H-210</v>
          </cell>
          <cell r="D1283">
            <v>0.12</v>
          </cell>
          <cell r="E1283" t="str">
            <v>m³</v>
          </cell>
          <cell r="F1283">
            <v>6106.0833786225003</v>
          </cell>
          <cell r="G1283">
            <v>0</v>
          </cell>
          <cell r="H1283">
            <v>0</v>
          </cell>
          <cell r="I1283">
            <v>732.73</v>
          </cell>
        </row>
        <row r="1284">
          <cell r="A1284" t="str">
            <v>P2101223</v>
          </cell>
          <cell r="B1284" t="str">
            <v>Auxiliar</v>
          </cell>
          <cell r="C1284" t="str">
            <v>Hormigón H210 Ligado en Obra</v>
          </cell>
          <cell r="D1284">
            <v>1.05</v>
          </cell>
          <cell r="E1284" t="str">
            <v>m³</v>
          </cell>
          <cell r="F1284">
            <v>5060.8072400000001</v>
          </cell>
          <cell r="G1284">
            <v>5313.8476020000007</v>
          </cell>
          <cell r="H1284">
            <v>0</v>
          </cell>
          <cell r="I1284">
            <v>5313.8476020000007</v>
          </cell>
        </row>
        <row r="1285">
          <cell r="A1285" t="str">
            <v>P0201008</v>
          </cell>
          <cell r="B1285" t="str">
            <v>Material</v>
          </cell>
          <cell r="C1285" t="str">
            <v>Arena Itabo Lavada</v>
          </cell>
          <cell r="D1285">
            <v>0.55000000000000004</v>
          </cell>
          <cell r="E1285" t="str">
            <v>m³</v>
          </cell>
          <cell r="F1285">
            <v>930.76</v>
          </cell>
          <cell r="G1285">
            <v>511.91800000000006</v>
          </cell>
          <cell r="H1285">
            <v>92.145240000000001</v>
          </cell>
          <cell r="I1285">
            <v>604.06324000000006</v>
          </cell>
        </row>
        <row r="1286">
          <cell r="A1286" t="str">
            <v>P0201007</v>
          </cell>
          <cell r="B1286" t="str">
            <v>Material</v>
          </cell>
          <cell r="C1286" t="str">
            <v>Grava de 1/2"</v>
          </cell>
          <cell r="D1286">
            <v>0.51</v>
          </cell>
          <cell r="E1286" t="str">
            <v>m³</v>
          </cell>
          <cell r="F1286">
            <v>1100</v>
          </cell>
          <cell r="G1286">
            <v>561</v>
          </cell>
          <cell r="H1286">
            <v>100.97999999999999</v>
          </cell>
          <cell r="I1286">
            <v>661.98</v>
          </cell>
        </row>
        <row r="1287">
          <cell r="A1287" t="str">
            <v>P0601003</v>
          </cell>
          <cell r="B1287" t="str">
            <v>Material</v>
          </cell>
          <cell r="C1287" t="str">
            <v>Cemento Gris 94 lbs. Tipo Portland</v>
          </cell>
          <cell r="D1287">
            <v>9</v>
          </cell>
          <cell r="E1287" t="str">
            <v>fd</v>
          </cell>
          <cell r="F1287">
            <v>295</v>
          </cell>
          <cell r="G1287">
            <v>2655</v>
          </cell>
          <cell r="H1287">
            <v>477.9</v>
          </cell>
          <cell r="I1287">
            <v>3132.9</v>
          </cell>
        </row>
        <row r="1288">
          <cell r="A1288" t="str">
            <v>P2403199</v>
          </cell>
          <cell r="B1288" t="str">
            <v>Material</v>
          </cell>
          <cell r="C1288" t="str">
            <v>Agua</v>
          </cell>
          <cell r="D1288">
            <v>60</v>
          </cell>
          <cell r="E1288" t="str">
            <v>gl</v>
          </cell>
          <cell r="F1288">
            <v>1.58</v>
          </cell>
          <cell r="G1288">
            <v>94.800000000000011</v>
          </cell>
          <cell r="H1288">
            <v>17.064</v>
          </cell>
          <cell r="I1288">
            <v>111.864</v>
          </cell>
        </row>
        <row r="1289">
          <cell r="A1289" t="str">
            <v>P4002000</v>
          </cell>
          <cell r="B1289" t="str">
            <v>Maquinaria</v>
          </cell>
          <cell r="C1289" t="str">
            <v>Ligado y Vaciado Con Equipo</v>
          </cell>
          <cell r="D1289">
            <v>1</v>
          </cell>
          <cell r="E1289" t="str">
            <v>m³</v>
          </cell>
          <cell r="F1289">
            <v>550</v>
          </cell>
          <cell r="G1289">
            <v>550</v>
          </cell>
          <cell r="H1289">
            <v>0</v>
          </cell>
          <cell r="I1289">
            <v>550</v>
          </cell>
        </row>
        <row r="1290">
          <cell r="A1290">
            <v>0</v>
          </cell>
          <cell r="B1290">
            <v>0</v>
          </cell>
          <cell r="C1290" t="str">
            <v>Total P2101223</v>
          </cell>
          <cell r="D1290">
            <v>1.05</v>
          </cell>
          <cell r="E1290">
            <v>0</v>
          </cell>
          <cell r="F1290">
            <v>5060.8072400000001</v>
          </cell>
          <cell r="G1290">
            <v>0</v>
          </cell>
          <cell r="H1290">
            <v>0</v>
          </cell>
          <cell r="I1290">
            <v>5313.85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P0402002</v>
          </cell>
          <cell r="B1292" t="str">
            <v>Material</v>
          </cell>
          <cell r="C1292" t="str">
            <v>Acero Malla D2.3xD2.3 (150x150)  Rollo 2.5x40=3.32qq</v>
          </cell>
          <cell r="D1292">
            <v>6.6666999999999996</v>
          </cell>
          <cell r="E1292" t="str">
            <v>m²</v>
          </cell>
          <cell r="F1292">
            <v>97.78125</v>
          </cell>
          <cell r="G1292">
            <v>651.87825937499997</v>
          </cell>
          <cell r="H1292">
            <v>117.3380866875</v>
          </cell>
          <cell r="I1292">
            <v>769.21634606249995</v>
          </cell>
        </row>
        <row r="1293">
          <cell r="A1293" t="str">
            <v>P0418006</v>
          </cell>
          <cell r="B1293" t="str">
            <v>Material</v>
          </cell>
          <cell r="C1293" t="str">
            <v>Alambre galvanizado liso #18</v>
          </cell>
          <cell r="D1293">
            <v>0.46139999999999998</v>
          </cell>
          <cell r="E1293" t="str">
            <v>lb</v>
          </cell>
          <cell r="F1293">
            <v>42.28</v>
          </cell>
          <cell r="G1293">
            <v>19.507991999999998</v>
          </cell>
          <cell r="H1293">
            <v>3.5114385599999993</v>
          </cell>
          <cell r="I1293">
            <v>23.019430559999996</v>
          </cell>
        </row>
        <row r="1294">
          <cell r="A1294">
            <v>0</v>
          </cell>
          <cell r="B1294">
            <v>0</v>
          </cell>
          <cell r="C1294" t="str">
            <v>Total HAISLF009</v>
          </cell>
          <cell r="D1294">
            <v>0.12</v>
          </cell>
          <cell r="E1294">
            <v>0</v>
          </cell>
          <cell r="F1294">
            <v>6106.0833786225003</v>
          </cell>
          <cell r="G1294">
            <v>0</v>
          </cell>
          <cell r="H1294">
            <v>0</v>
          </cell>
          <cell r="I1294">
            <v>732.73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H122012</v>
          </cell>
          <cell r="B1296" t="str">
            <v>Mano de obra</v>
          </cell>
          <cell r="C1296" t="str">
            <v>M.O. Construcción Registro 60x60x100</v>
          </cell>
          <cell r="D1296">
            <v>1</v>
          </cell>
          <cell r="E1296" t="str">
            <v>u</v>
          </cell>
          <cell r="F1296">
            <v>2700</v>
          </cell>
          <cell r="G1296">
            <v>2700</v>
          </cell>
          <cell r="H1296">
            <v>0</v>
          </cell>
          <cell r="I1296">
            <v>2700</v>
          </cell>
        </row>
        <row r="1297">
          <cell r="A1297" t="str">
            <v>H%FH</v>
          </cell>
          <cell r="B1297" t="str">
            <v>Otros</v>
          </cell>
          <cell r="C1297" t="str">
            <v>Factor Herramientas</v>
          </cell>
          <cell r="D1297">
            <v>1</v>
          </cell>
          <cell r="E1297" t="str">
            <v>%</v>
          </cell>
          <cell r="F1297">
            <v>2700</v>
          </cell>
          <cell r="G1297">
            <v>27</v>
          </cell>
          <cell r="H1297">
            <v>0</v>
          </cell>
          <cell r="I1297">
            <v>27</v>
          </cell>
        </row>
        <row r="1298">
          <cell r="A1298">
            <v>0</v>
          </cell>
          <cell r="B1298">
            <v>0</v>
          </cell>
          <cell r="C1298" t="str">
            <v>Total 01.17.08</v>
          </cell>
          <cell r="D1298">
            <v>1</v>
          </cell>
          <cell r="E1298">
            <v>0</v>
          </cell>
          <cell r="F1298">
            <v>6950.66</v>
          </cell>
          <cell r="G1298">
            <v>0</v>
          </cell>
          <cell r="H1298">
            <v>0</v>
          </cell>
          <cell r="I1298">
            <v>6950.66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01.17.09</v>
          </cell>
          <cell r="B1300" t="str">
            <v>Partida</v>
          </cell>
          <cell r="C1300" t="str">
            <v>Registros de Ladrillos In Situ o prefabricados 0.80x1.50m</v>
          </cell>
          <cell r="D1300">
            <v>1</v>
          </cell>
          <cell r="E1300" t="str">
            <v>u</v>
          </cell>
          <cell r="F1300">
            <v>57546.962959452001</v>
          </cell>
          <cell r="G1300">
            <v>0</v>
          </cell>
          <cell r="H1300">
            <v>0</v>
          </cell>
          <cell r="I1300">
            <v>57546.96</v>
          </cell>
        </row>
        <row r="1301">
          <cell r="A1301" t="str">
            <v>P2101223</v>
          </cell>
          <cell r="B1301" t="str">
            <v>Auxiliar</v>
          </cell>
          <cell r="C1301" t="str">
            <v>Hormigón H210 Ligado en Obra</v>
          </cell>
          <cell r="D1301">
            <v>0.67230000000000001</v>
          </cell>
          <cell r="E1301" t="str">
            <v>m³</v>
          </cell>
          <cell r="F1301">
            <v>5060.8072400000001</v>
          </cell>
          <cell r="G1301">
            <v>3402.380707452</v>
          </cell>
          <cell r="H1301">
            <v>0</v>
          </cell>
          <cell r="I1301">
            <v>3402.380707452</v>
          </cell>
        </row>
        <row r="1302">
          <cell r="A1302" t="str">
            <v>P0201008</v>
          </cell>
          <cell r="B1302" t="str">
            <v>Material</v>
          </cell>
          <cell r="C1302" t="str">
            <v>Arena Itabo Lavada</v>
          </cell>
          <cell r="D1302">
            <v>0.55000000000000004</v>
          </cell>
          <cell r="E1302" t="str">
            <v>m³</v>
          </cell>
          <cell r="F1302">
            <v>930.76</v>
          </cell>
          <cell r="G1302">
            <v>511.91800000000006</v>
          </cell>
          <cell r="H1302">
            <v>92.145240000000001</v>
          </cell>
          <cell r="I1302">
            <v>604.06324000000006</v>
          </cell>
        </row>
        <row r="1303">
          <cell r="A1303" t="str">
            <v>P0201007</v>
          </cell>
          <cell r="B1303" t="str">
            <v>Material</v>
          </cell>
          <cell r="C1303" t="str">
            <v>Grava de 1/2"</v>
          </cell>
          <cell r="D1303">
            <v>0.51</v>
          </cell>
          <cell r="E1303" t="str">
            <v>m³</v>
          </cell>
          <cell r="F1303">
            <v>1100</v>
          </cell>
          <cell r="G1303">
            <v>561</v>
          </cell>
          <cell r="H1303">
            <v>100.97999999999999</v>
          </cell>
          <cell r="I1303">
            <v>661.98</v>
          </cell>
        </row>
        <row r="1304">
          <cell r="A1304" t="str">
            <v>P0601003</v>
          </cell>
          <cell r="B1304" t="str">
            <v>Material</v>
          </cell>
          <cell r="C1304" t="str">
            <v>Cemento Gris 94 lbs. Tipo Portland</v>
          </cell>
          <cell r="D1304">
            <v>9</v>
          </cell>
          <cell r="E1304" t="str">
            <v>fd</v>
          </cell>
          <cell r="F1304">
            <v>295</v>
          </cell>
          <cell r="G1304">
            <v>2655</v>
          </cell>
          <cell r="H1304">
            <v>477.9</v>
          </cell>
          <cell r="I1304">
            <v>3132.9</v>
          </cell>
        </row>
        <row r="1305">
          <cell r="A1305" t="str">
            <v>P2403199</v>
          </cell>
          <cell r="B1305" t="str">
            <v>Material</v>
          </cell>
          <cell r="C1305" t="str">
            <v>Agua</v>
          </cell>
          <cell r="D1305">
            <v>60</v>
          </cell>
          <cell r="E1305" t="str">
            <v>gl</v>
          </cell>
          <cell r="F1305">
            <v>1.58</v>
          </cell>
          <cell r="G1305">
            <v>94.800000000000011</v>
          </cell>
          <cell r="H1305">
            <v>17.064</v>
          </cell>
          <cell r="I1305">
            <v>111.864</v>
          </cell>
        </row>
        <row r="1306">
          <cell r="A1306" t="str">
            <v>P4002000</v>
          </cell>
          <cell r="B1306" t="str">
            <v>Maquinaria</v>
          </cell>
          <cell r="C1306" t="str">
            <v>Ligado y Vaciado Con Equipo</v>
          </cell>
          <cell r="D1306">
            <v>1</v>
          </cell>
          <cell r="E1306" t="str">
            <v>m³</v>
          </cell>
          <cell r="F1306">
            <v>550</v>
          </cell>
          <cell r="G1306">
            <v>550</v>
          </cell>
          <cell r="H1306">
            <v>0</v>
          </cell>
          <cell r="I1306">
            <v>550</v>
          </cell>
        </row>
        <row r="1307">
          <cell r="A1307">
            <v>0</v>
          </cell>
          <cell r="B1307">
            <v>0</v>
          </cell>
          <cell r="C1307" t="str">
            <v>Total P2101223</v>
          </cell>
          <cell r="D1307">
            <v>0.67230000000000001</v>
          </cell>
          <cell r="E1307">
            <v>0</v>
          </cell>
          <cell r="F1307">
            <v>5060.8072400000001</v>
          </cell>
          <cell r="G1307">
            <v>0</v>
          </cell>
          <cell r="H1307">
            <v>0</v>
          </cell>
          <cell r="I1307">
            <v>3402.38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P1805016</v>
          </cell>
          <cell r="B1309" t="str">
            <v>Material</v>
          </cell>
          <cell r="C1309" t="str">
            <v>Ladrillo de Hormigon 0.20x0.10x0.05m</v>
          </cell>
          <cell r="D1309">
            <v>1102.5</v>
          </cell>
          <cell r="E1309" t="str">
            <v>u</v>
          </cell>
          <cell r="F1309">
            <v>20</v>
          </cell>
          <cell r="G1309">
            <v>22050</v>
          </cell>
          <cell r="H1309">
            <v>3969</v>
          </cell>
          <cell r="I1309">
            <v>26019</v>
          </cell>
        </row>
        <row r="1310">
          <cell r="A1310" t="str">
            <v>P0603001</v>
          </cell>
          <cell r="B1310" t="str">
            <v>Material</v>
          </cell>
          <cell r="C1310" t="str">
            <v>Cal hidratada, funda de 50 Lbs</v>
          </cell>
          <cell r="D1310">
            <v>0.43359999999999999</v>
          </cell>
          <cell r="E1310" t="str">
            <v>fd</v>
          </cell>
          <cell r="F1310">
            <v>213.4</v>
          </cell>
          <cell r="G1310">
            <v>92.530240000000006</v>
          </cell>
          <cell r="H1310">
            <v>16.655443200000001</v>
          </cell>
          <cell r="I1310">
            <v>109.1856832</v>
          </cell>
        </row>
        <row r="1311">
          <cell r="A1311" t="str">
            <v>P0601003</v>
          </cell>
          <cell r="B1311" t="str">
            <v>Material</v>
          </cell>
          <cell r="C1311" t="str">
            <v>Cemento Gris 94 lbs. Tipo Portland</v>
          </cell>
          <cell r="D1311">
            <v>2.1678000000000002</v>
          </cell>
          <cell r="E1311" t="str">
            <v>fd</v>
          </cell>
          <cell r="F1311">
            <v>295</v>
          </cell>
          <cell r="G1311">
            <v>639.50100000000009</v>
          </cell>
          <cell r="H1311">
            <v>115.11018000000001</v>
          </cell>
          <cell r="I1311">
            <v>754.6111800000001</v>
          </cell>
        </row>
        <row r="1312">
          <cell r="A1312" t="str">
            <v>P0201005</v>
          </cell>
          <cell r="B1312" t="str">
            <v>Material</v>
          </cell>
          <cell r="C1312" t="str">
            <v>Arena fina p/pañete</v>
          </cell>
          <cell r="D1312">
            <v>0.19639999999999999</v>
          </cell>
          <cell r="E1312" t="str">
            <v>m³</v>
          </cell>
          <cell r="F1312">
            <v>1200</v>
          </cell>
          <cell r="G1312">
            <v>235.67999999999998</v>
          </cell>
          <cell r="H1312">
            <v>42.422399999999996</v>
          </cell>
          <cell r="I1312">
            <v>278.10239999999999</v>
          </cell>
        </row>
        <row r="1313">
          <cell r="A1313" t="str">
            <v>P2403199</v>
          </cell>
          <cell r="B1313" t="str">
            <v>Material</v>
          </cell>
          <cell r="C1313" t="str">
            <v>Agua</v>
          </cell>
          <cell r="D1313">
            <v>9.4247999999999994</v>
          </cell>
          <cell r="E1313" t="str">
            <v>gl</v>
          </cell>
          <cell r="F1313">
            <v>1.58</v>
          </cell>
          <cell r="G1313">
            <v>14.891183999999999</v>
          </cell>
          <cell r="H1313">
            <v>2.6804131199999999</v>
          </cell>
          <cell r="I1313">
            <v>17.57159712</v>
          </cell>
        </row>
        <row r="1314">
          <cell r="A1314" t="str">
            <v>P0701003</v>
          </cell>
          <cell r="B1314" t="str">
            <v>Material</v>
          </cell>
          <cell r="C1314" t="str">
            <v>Regla para pañete de PATC</v>
          </cell>
          <cell r="D1314">
            <v>6.6600000000000006E-2</v>
          </cell>
          <cell r="E1314" t="str">
            <v>p²</v>
          </cell>
          <cell r="F1314">
            <v>55.000000000000007</v>
          </cell>
          <cell r="G1314">
            <v>3.6630000000000007</v>
          </cell>
          <cell r="H1314">
            <v>0.65934000000000015</v>
          </cell>
          <cell r="I1314">
            <v>4.3223400000000005</v>
          </cell>
        </row>
        <row r="1315">
          <cell r="A1315" t="str">
            <v>A0120</v>
          </cell>
          <cell r="B1315" t="str">
            <v>Auxiliar</v>
          </cell>
          <cell r="C1315" t="str">
            <v>Mezcla de Mortero 1:3</v>
          </cell>
          <cell r="D1315">
            <v>0.67869999999999997</v>
          </cell>
          <cell r="E1315" t="str">
            <v>m³</v>
          </cell>
          <cell r="F1315">
            <v>5558.8463999999994</v>
          </cell>
          <cell r="G1315">
            <v>3772.7890516799994</v>
          </cell>
          <cell r="H1315">
            <v>0</v>
          </cell>
          <cell r="I1315">
            <v>3772.7890516799994</v>
          </cell>
        </row>
        <row r="1316">
          <cell r="A1316" t="str">
            <v>P0601003</v>
          </cell>
          <cell r="B1316" t="str">
            <v>Material</v>
          </cell>
          <cell r="C1316" t="str">
            <v>Cemento Gris 94 lbs. Tipo Portland</v>
          </cell>
          <cell r="D1316">
            <v>11.51</v>
          </cell>
          <cell r="E1316" t="str">
            <v>fd</v>
          </cell>
          <cell r="F1316">
            <v>295</v>
          </cell>
          <cell r="G1316">
            <v>3395.45</v>
          </cell>
          <cell r="H1316">
            <v>611.18099999999993</v>
          </cell>
          <cell r="I1316">
            <v>4006.6309999999999</v>
          </cell>
        </row>
        <row r="1317">
          <cell r="A1317" t="str">
            <v>P0201008</v>
          </cell>
          <cell r="B1317" t="str">
            <v>Material</v>
          </cell>
          <cell r="C1317" t="str">
            <v>Arena Itabo Lavada</v>
          </cell>
          <cell r="D1317">
            <v>1</v>
          </cell>
          <cell r="E1317" t="str">
            <v>m³</v>
          </cell>
          <cell r="F1317">
            <v>930.76</v>
          </cell>
          <cell r="G1317">
            <v>930.76</v>
          </cell>
          <cell r="H1317">
            <v>167.5368</v>
          </cell>
          <cell r="I1317">
            <v>1098.2968000000001</v>
          </cell>
        </row>
        <row r="1318">
          <cell r="A1318" t="str">
            <v>P2403199</v>
          </cell>
          <cell r="B1318" t="str">
            <v>Material</v>
          </cell>
          <cell r="C1318" t="str">
            <v>Agua</v>
          </cell>
          <cell r="D1318">
            <v>69</v>
          </cell>
          <cell r="E1318" t="str">
            <v>gl</v>
          </cell>
          <cell r="F1318">
            <v>1.58</v>
          </cell>
          <cell r="G1318">
            <v>109.02000000000001</v>
          </cell>
          <cell r="H1318">
            <v>19.6236</v>
          </cell>
          <cell r="I1318">
            <v>128.64360000000002</v>
          </cell>
        </row>
        <row r="1319">
          <cell r="A1319" t="str">
            <v>H0105056</v>
          </cell>
          <cell r="B1319" t="str">
            <v>Mano de obra</v>
          </cell>
          <cell r="C1319" t="str">
            <v>M.O. Ayudante o Peon</v>
          </cell>
          <cell r="D1319">
            <v>0.5</v>
          </cell>
          <cell r="E1319" t="str">
            <v>d</v>
          </cell>
          <cell r="F1319">
            <v>650.54999999999995</v>
          </cell>
          <cell r="G1319">
            <v>325.27499999999998</v>
          </cell>
          <cell r="H1319">
            <v>0</v>
          </cell>
          <cell r="I1319">
            <v>325.27499999999998</v>
          </cell>
        </row>
        <row r="1320">
          <cell r="A1320">
            <v>0</v>
          </cell>
          <cell r="B1320">
            <v>0</v>
          </cell>
          <cell r="C1320" t="str">
            <v>Total A0120</v>
          </cell>
          <cell r="D1320">
            <v>0.67869999999999997</v>
          </cell>
          <cell r="E1320">
            <v>0</v>
          </cell>
          <cell r="F1320">
            <v>5558.8463999999994</v>
          </cell>
          <cell r="G1320">
            <v>0</v>
          </cell>
          <cell r="H1320">
            <v>0</v>
          </cell>
          <cell r="I1320">
            <v>3772.79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I00054</v>
          </cell>
          <cell r="B1322" t="str">
            <v>Material</v>
          </cell>
          <cell r="C1322" t="str">
            <v>Escalera  con barras 3/8</v>
          </cell>
          <cell r="D1322">
            <v>1</v>
          </cell>
          <cell r="E1322" t="str">
            <v>u</v>
          </cell>
          <cell r="F1322">
            <v>8000</v>
          </cell>
          <cell r="G1322">
            <v>8000</v>
          </cell>
          <cell r="H1322">
            <v>1440</v>
          </cell>
          <cell r="I1322">
            <v>9440</v>
          </cell>
        </row>
        <row r="1323">
          <cell r="A1323" t="str">
            <v>P5210122</v>
          </cell>
          <cell r="B1323" t="str">
            <v>Material</v>
          </cell>
          <cell r="C1323" t="str">
            <v>Tapa de HF 60" pesada</v>
          </cell>
          <cell r="D1323">
            <v>1</v>
          </cell>
          <cell r="E1323" t="str">
            <v>u</v>
          </cell>
          <cell r="F1323">
            <v>7800</v>
          </cell>
          <cell r="G1323">
            <v>7800</v>
          </cell>
          <cell r="H1323">
            <v>1404</v>
          </cell>
          <cell r="I1323">
            <v>9204</v>
          </cell>
        </row>
        <row r="1324">
          <cell r="A1324" t="str">
            <v>H145215</v>
          </cell>
          <cell r="B1324" t="str">
            <v>Mano de obra</v>
          </cell>
          <cell r="C1324" t="str">
            <v>M.O. Confección de Registro de Ladrillo 1.00@1.50 m</v>
          </cell>
          <cell r="D1324">
            <v>1</v>
          </cell>
          <cell r="E1324" t="str">
            <v>u</v>
          </cell>
          <cell r="F1324">
            <v>4500</v>
          </cell>
          <cell r="G1324">
            <v>4500</v>
          </cell>
          <cell r="H1324">
            <v>0</v>
          </cell>
          <cell r="I1324">
            <v>4500</v>
          </cell>
        </row>
        <row r="1325">
          <cell r="A1325" t="str">
            <v>H%FH</v>
          </cell>
          <cell r="B1325" t="str">
            <v>Otros</v>
          </cell>
          <cell r="C1325" t="str">
            <v>Factor Herramientas</v>
          </cell>
          <cell r="D1325">
            <v>1</v>
          </cell>
          <cell r="E1325" t="str">
            <v>%</v>
          </cell>
          <cell r="F1325">
            <v>4500</v>
          </cell>
          <cell r="G1325">
            <v>45</v>
          </cell>
          <cell r="H1325">
            <v>0</v>
          </cell>
          <cell r="I1325">
            <v>45</v>
          </cell>
        </row>
        <row r="1326">
          <cell r="A1326">
            <v>0</v>
          </cell>
          <cell r="B1326">
            <v>0</v>
          </cell>
          <cell r="C1326" t="str">
            <v>Total 01.17.09</v>
          </cell>
          <cell r="D1326">
            <v>1</v>
          </cell>
          <cell r="E1326">
            <v>0</v>
          </cell>
          <cell r="F1326">
            <v>57546.962959452001</v>
          </cell>
          <cell r="G1326">
            <v>0</v>
          </cell>
          <cell r="H1326">
            <v>0</v>
          </cell>
          <cell r="I1326">
            <v>57546.96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01.18</v>
          </cell>
          <cell r="B1330" t="str">
            <v>Capítulo</v>
          </cell>
          <cell r="C1330" t="str">
            <v>PAISAJISMO:</v>
          </cell>
          <cell r="D1330">
            <v>0</v>
          </cell>
          <cell r="E1330" t="str">
            <v/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01.18.01</v>
          </cell>
          <cell r="B1331" t="str">
            <v>Partida</v>
          </cell>
          <cell r="C1331" t="str">
            <v>Grama: Suministro y colocación (Tipo Bermuda)</v>
          </cell>
          <cell r="D1331">
            <v>1</v>
          </cell>
          <cell r="E1331" t="str">
            <v>m²</v>
          </cell>
          <cell r="F1331">
            <v>0</v>
          </cell>
          <cell r="G1331">
            <v>281.25</v>
          </cell>
          <cell r="H1331">
            <v>0</v>
          </cell>
          <cell r="I1331">
            <v>281.25</v>
          </cell>
        </row>
        <row r="1332">
          <cell r="A1332" t="str">
            <v>O082212</v>
          </cell>
          <cell r="B1332" t="str">
            <v>Otros</v>
          </cell>
          <cell r="C1332" t="str">
            <v>Sum./ Colocación de Grama (Tipo Bermuda)</v>
          </cell>
          <cell r="D1332">
            <v>1</v>
          </cell>
          <cell r="E1332" t="str">
            <v>m²</v>
          </cell>
          <cell r="F1332">
            <v>281.25</v>
          </cell>
          <cell r="G1332">
            <v>281.25</v>
          </cell>
          <cell r="H1332">
            <v>0</v>
          </cell>
          <cell r="I1332">
            <v>281.25</v>
          </cell>
        </row>
        <row r="1333">
          <cell r="A1333">
            <v>0</v>
          </cell>
          <cell r="B1333">
            <v>0</v>
          </cell>
          <cell r="C1333" t="str">
            <v>Total 01.18.01</v>
          </cell>
          <cell r="D1333">
            <v>1</v>
          </cell>
          <cell r="E1333">
            <v>0</v>
          </cell>
          <cell r="F1333">
            <v>0</v>
          </cell>
          <cell r="G1333">
            <v>281.25</v>
          </cell>
          <cell r="H1333">
            <v>0</v>
          </cell>
          <cell r="I1333">
            <v>281.25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01.19</v>
          </cell>
          <cell r="B1337" t="str">
            <v>Capítulo</v>
          </cell>
          <cell r="C1337" t="str">
            <v>IMPERMEABILIZACION:</v>
          </cell>
          <cell r="D1337">
            <v>0</v>
          </cell>
          <cell r="E1337" t="str">
            <v/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01.19.01</v>
          </cell>
          <cell r="B1338" t="str">
            <v>Partida</v>
          </cell>
          <cell r="C1338" t="str">
            <v>Impermeabilizante acrílico, capa elastomérica para techo polybrite 24. Siete años de garantía.</v>
          </cell>
          <cell r="D1338">
            <v>1</v>
          </cell>
          <cell r="E1338" t="str">
            <v>m²</v>
          </cell>
          <cell r="F1338">
            <v>0</v>
          </cell>
          <cell r="G1338">
            <v>350</v>
          </cell>
          <cell r="H1338">
            <v>0</v>
          </cell>
          <cell r="I1338">
            <v>350</v>
          </cell>
        </row>
        <row r="1339">
          <cell r="A1339" t="str">
            <v>O0915401</v>
          </cell>
          <cell r="B1339" t="str">
            <v>Otros</v>
          </cell>
          <cell r="C1339" t="str">
            <v>Sum./ Colocación Impermeabilizante acrílico, capa elastomérica para techo polybrite 24</v>
          </cell>
          <cell r="D1339">
            <v>1</v>
          </cell>
          <cell r="E1339" t="str">
            <v>m²</v>
          </cell>
          <cell r="F1339">
            <v>350</v>
          </cell>
          <cell r="G1339">
            <v>350</v>
          </cell>
          <cell r="H1339">
            <v>0</v>
          </cell>
          <cell r="I1339">
            <v>350</v>
          </cell>
        </row>
        <row r="1340">
          <cell r="A1340">
            <v>0</v>
          </cell>
          <cell r="B1340">
            <v>0</v>
          </cell>
          <cell r="C1340" t="str">
            <v>Total 01.19.01</v>
          </cell>
          <cell r="D1340">
            <v>1</v>
          </cell>
          <cell r="E1340">
            <v>0</v>
          </cell>
          <cell r="F1340">
            <v>0</v>
          </cell>
          <cell r="G1340">
            <v>350</v>
          </cell>
          <cell r="H1340">
            <v>0</v>
          </cell>
          <cell r="I1340">
            <v>350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01.19.02</v>
          </cell>
          <cell r="B1342" t="str">
            <v>Partida</v>
          </cell>
          <cell r="C1342" t="str">
            <v>Impermeabilizante, Lona Asfáltica Granulada en poliester 4 kilo,
2.8 mm, incluye Primer. Siete años de garantía.</v>
          </cell>
          <cell r="D1342">
            <v>1</v>
          </cell>
          <cell r="E1342" t="str">
            <v>m²</v>
          </cell>
          <cell r="F1342">
            <v>550</v>
          </cell>
          <cell r="G1342">
            <v>0</v>
          </cell>
          <cell r="H1342">
            <v>0</v>
          </cell>
          <cell r="I1342">
            <v>550</v>
          </cell>
        </row>
        <row r="1343">
          <cell r="A1343" t="str">
            <v>O0915402</v>
          </cell>
          <cell r="B1343" t="str">
            <v>Otros</v>
          </cell>
          <cell r="C1343" t="str">
            <v>Sum./ Colocación Impermeabilizante, Lona Asfáltica Granulada en poliester 4 kilo,
2.8 mm</v>
          </cell>
          <cell r="D1343">
            <v>1</v>
          </cell>
          <cell r="E1343" t="str">
            <v>m²</v>
          </cell>
          <cell r="F1343">
            <v>550</v>
          </cell>
          <cell r="G1343">
            <v>550</v>
          </cell>
          <cell r="H1343">
            <v>0</v>
          </cell>
          <cell r="I1343">
            <v>550</v>
          </cell>
        </row>
        <row r="1344">
          <cell r="A1344">
            <v>0</v>
          </cell>
          <cell r="B1344">
            <v>0</v>
          </cell>
          <cell r="C1344" t="str">
            <v>Total 01.19.02</v>
          </cell>
          <cell r="D1344">
            <v>1</v>
          </cell>
          <cell r="E1344">
            <v>0</v>
          </cell>
          <cell r="F1344">
            <v>550</v>
          </cell>
          <cell r="G1344">
            <v>0</v>
          </cell>
          <cell r="H1344">
            <v>0</v>
          </cell>
          <cell r="I1344">
            <v>550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01.19.03</v>
          </cell>
          <cell r="B1346" t="str">
            <v>Partida</v>
          </cell>
          <cell r="C1346" t="str">
            <v>Sellador en Superficie Pañetada en Fachada Exterior</v>
          </cell>
          <cell r="D1346">
            <v>1</v>
          </cell>
          <cell r="E1346" t="str">
            <v>m²</v>
          </cell>
          <cell r="F1346">
            <v>245.14863448</v>
          </cell>
          <cell r="G1346">
            <v>0</v>
          </cell>
          <cell r="H1346">
            <v>0</v>
          </cell>
          <cell r="I1346">
            <v>245.15</v>
          </cell>
        </row>
        <row r="1347">
          <cell r="A1347" t="str">
            <v>P0521153</v>
          </cell>
          <cell r="B1347" t="str">
            <v>Material</v>
          </cell>
          <cell r="C1347" t="str">
            <v>Tamoseal White 50 Lbs</v>
          </cell>
          <cell r="D1347">
            <v>7.3400000000000007E-2</v>
          </cell>
          <cell r="E1347" t="str">
            <v>fd</v>
          </cell>
          <cell r="F1347">
            <v>1713.5</v>
          </cell>
          <cell r="G1347">
            <v>125.77090000000001</v>
          </cell>
          <cell r="H1347">
            <v>22.638762</v>
          </cell>
          <cell r="I1347">
            <v>148.40966200000003</v>
          </cell>
        </row>
        <row r="1348">
          <cell r="A1348" t="str">
            <v>P0521154</v>
          </cell>
          <cell r="B1348" t="str">
            <v>Material</v>
          </cell>
          <cell r="C1348" t="str">
            <v>Akkro-7T</v>
          </cell>
          <cell r="D1348">
            <v>7.3400000000000007E-2</v>
          </cell>
          <cell r="E1348" t="str">
            <v>gl</v>
          </cell>
          <cell r="F1348">
            <v>880.83</v>
          </cell>
          <cell r="G1348">
            <v>64.652922000000004</v>
          </cell>
          <cell r="H1348">
            <v>11.63752596</v>
          </cell>
          <cell r="I1348">
            <v>76.290447960000009</v>
          </cell>
        </row>
        <row r="1349">
          <cell r="A1349" t="str">
            <v>P2403199</v>
          </cell>
          <cell r="B1349" t="str">
            <v>Material</v>
          </cell>
          <cell r="C1349" t="str">
            <v>Agua</v>
          </cell>
          <cell r="D1349">
            <v>0.1333</v>
          </cell>
          <cell r="E1349" t="str">
            <v>gl</v>
          </cell>
          <cell r="F1349">
            <v>1.58</v>
          </cell>
          <cell r="G1349">
            <v>0.21061400000000002</v>
          </cell>
          <cell r="H1349">
            <v>3.7910520000000003E-2</v>
          </cell>
          <cell r="I1349">
            <v>0.24852452000000003</v>
          </cell>
        </row>
        <row r="1350">
          <cell r="A1350" t="str">
            <v>H1215533</v>
          </cell>
          <cell r="B1350" t="str">
            <v>Mano de obra</v>
          </cell>
          <cell r="C1350" t="str">
            <v>M.O. Aplicacion de Tamoseal (hand brush)</v>
          </cell>
          <cell r="D1350">
            <v>1</v>
          </cell>
          <cell r="E1350" t="str">
            <v>m²</v>
          </cell>
          <cell r="F1350">
            <v>20</v>
          </cell>
          <cell r="G1350">
            <v>20</v>
          </cell>
          <cell r="H1350">
            <v>0</v>
          </cell>
          <cell r="I1350">
            <v>20</v>
          </cell>
        </row>
        <row r="1351">
          <cell r="A1351" t="str">
            <v>H%FH</v>
          </cell>
          <cell r="B1351" t="str">
            <v>Otros</v>
          </cell>
          <cell r="C1351" t="str">
            <v>Factor Herramientas</v>
          </cell>
          <cell r="D1351">
            <v>1</v>
          </cell>
          <cell r="E1351" t="str">
            <v>%</v>
          </cell>
          <cell r="F1351">
            <v>20</v>
          </cell>
          <cell r="G1351">
            <v>0.2</v>
          </cell>
          <cell r="H1351">
            <v>0</v>
          </cell>
          <cell r="I1351">
            <v>0.2</v>
          </cell>
        </row>
        <row r="1352">
          <cell r="A1352">
            <v>0</v>
          </cell>
          <cell r="B1352">
            <v>0</v>
          </cell>
          <cell r="C1352" t="str">
            <v>Total 01.19.03</v>
          </cell>
          <cell r="D1352">
            <v>1</v>
          </cell>
          <cell r="E1352">
            <v>0</v>
          </cell>
          <cell r="F1352">
            <v>245.14863448</v>
          </cell>
          <cell r="G1352">
            <v>0</v>
          </cell>
          <cell r="H1352">
            <v>0</v>
          </cell>
          <cell r="I1352">
            <v>245.15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01.20</v>
          </cell>
          <cell r="B1356" t="str">
            <v>Capítulo</v>
          </cell>
          <cell r="C1356" t="str">
            <v>TOPES:</v>
          </cell>
          <cell r="D1356">
            <v>0</v>
          </cell>
          <cell r="E1356" t="str">
            <v/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01.20.01</v>
          </cell>
          <cell r="B1357" t="str">
            <v>Partida</v>
          </cell>
          <cell r="C1357" t="str">
            <v>Mesetas en granito color gris chino 2.65 ft. X 18.40 ft.</v>
          </cell>
          <cell r="D1357">
            <v>1</v>
          </cell>
          <cell r="E1357" t="str">
            <v>p²</v>
          </cell>
          <cell r="F1357">
            <v>444.33085501858739</v>
          </cell>
          <cell r="G1357">
            <v>0</v>
          </cell>
          <cell r="H1357">
            <v>0</v>
          </cell>
          <cell r="I1357">
            <v>444.33</v>
          </cell>
        </row>
        <row r="1358">
          <cell r="A1358" t="str">
            <v>O632112</v>
          </cell>
          <cell r="B1358" t="str">
            <v>Otros</v>
          </cell>
          <cell r="C1358" t="str">
            <v>Sum./Instalación Tope Granito Imp.</v>
          </cell>
          <cell r="D1358">
            <v>1</v>
          </cell>
          <cell r="E1358" t="str">
            <v>p²</v>
          </cell>
          <cell r="F1358">
            <v>444.33085501858739</v>
          </cell>
          <cell r="G1358">
            <v>444.33085501858739</v>
          </cell>
          <cell r="H1358">
            <v>0</v>
          </cell>
          <cell r="I1358">
            <v>444.33085501858739</v>
          </cell>
        </row>
        <row r="1359">
          <cell r="A1359">
            <v>0</v>
          </cell>
          <cell r="B1359">
            <v>0</v>
          </cell>
          <cell r="C1359" t="str">
            <v>Total 01.20.01</v>
          </cell>
          <cell r="D1359">
            <v>1</v>
          </cell>
          <cell r="E1359">
            <v>0</v>
          </cell>
          <cell r="F1359">
            <v>444.33085501858739</v>
          </cell>
          <cell r="G1359">
            <v>0</v>
          </cell>
          <cell r="H1359">
            <v>0</v>
          </cell>
          <cell r="I1359">
            <v>444.33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01.20.02</v>
          </cell>
          <cell r="B1361" t="str">
            <v>Partida</v>
          </cell>
          <cell r="C1361" t="str">
            <v>Tope de granito natural chino, 2.5 ml</v>
          </cell>
          <cell r="D1361">
            <v>1</v>
          </cell>
          <cell r="E1361" t="str">
            <v>u</v>
          </cell>
          <cell r="F1361">
            <v>7171.5000000000009</v>
          </cell>
          <cell r="G1361">
            <v>0</v>
          </cell>
          <cell r="H1361">
            <v>0</v>
          </cell>
          <cell r="I1361">
            <v>7171.5</v>
          </cell>
        </row>
        <row r="1362">
          <cell r="A1362" t="str">
            <v>O632112</v>
          </cell>
          <cell r="B1362" t="str">
            <v>Otros</v>
          </cell>
          <cell r="C1362" t="str">
            <v>Sum./Instalación Tope Granito Imp.</v>
          </cell>
          <cell r="D1362">
            <v>16.14</v>
          </cell>
          <cell r="E1362" t="str">
            <v>p²</v>
          </cell>
          <cell r="F1362">
            <v>444.33085501858739</v>
          </cell>
          <cell r="G1362">
            <v>7171.5000000000009</v>
          </cell>
          <cell r="H1362">
            <v>0</v>
          </cell>
          <cell r="I1362">
            <v>7171.5000000000009</v>
          </cell>
        </row>
        <row r="1363">
          <cell r="A1363">
            <v>0</v>
          </cell>
          <cell r="B1363">
            <v>0</v>
          </cell>
          <cell r="C1363" t="str">
            <v>Total 01.20.02</v>
          </cell>
          <cell r="D1363">
            <v>1</v>
          </cell>
          <cell r="E1363">
            <v>0</v>
          </cell>
          <cell r="F1363">
            <v>7171.5000000000009</v>
          </cell>
          <cell r="G1363">
            <v>0</v>
          </cell>
          <cell r="H1363">
            <v>0</v>
          </cell>
          <cell r="I1363">
            <v>7171.5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</row>
        <row r="1365">
          <cell r="A1365" t="str">
            <v>01.20.03</v>
          </cell>
          <cell r="B1365" t="str">
            <v>Partida</v>
          </cell>
          <cell r="C1365" t="str">
            <v>Tope de granito natural chino, 3ml</v>
          </cell>
          <cell r="D1365">
            <v>1</v>
          </cell>
          <cell r="E1365" t="str">
            <v>u</v>
          </cell>
          <cell r="F1365">
            <v>8605.7999999999993</v>
          </cell>
          <cell r="G1365">
            <v>0</v>
          </cell>
          <cell r="H1365">
            <v>0</v>
          </cell>
          <cell r="I1365">
            <v>8605.7999999999993</v>
          </cell>
        </row>
        <row r="1366">
          <cell r="A1366" t="str">
            <v>O632112</v>
          </cell>
          <cell r="B1366" t="str">
            <v>Otros</v>
          </cell>
          <cell r="C1366" t="str">
            <v>Sum./Instalación Tope Granito Imp.</v>
          </cell>
          <cell r="D1366">
            <v>19.367999999999999</v>
          </cell>
          <cell r="E1366" t="str">
            <v>p²</v>
          </cell>
          <cell r="F1366">
            <v>444.33085501858739</v>
          </cell>
          <cell r="G1366">
            <v>8605.7999999999993</v>
          </cell>
          <cell r="H1366">
            <v>0</v>
          </cell>
          <cell r="I1366">
            <v>8605.7999999999993</v>
          </cell>
        </row>
        <row r="1367">
          <cell r="A1367">
            <v>0</v>
          </cell>
          <cell r="B1367">
            <v>0</v>
          </cell>
          <cell r="C1367" t="str">
            <v>Total 01.20.03</v>
          </cell>
          <cell r="D1367">
            <v>1</v>
          </cell>
          <cell r="E1367">
            <v>0</v>
          </cell>
          <cell r="F1367">
            <v>8605.7999999999993</v>
          </cell>
          <cell r="G1367">
            <v>0</v>
          </cell>
          <cell r="H1367">
            <v>0</v>
          </cell>
          <cell r="I1367">
            <v>8605.7999999999993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01.20.04</v>
          </cell>
          <cell r="B1369" t="str">
            <v>Partida</v>
          </cell>
          <cell r="C1369" t="str">
            <v>Tope de granito natural chino, ancho 0.60 mts</v>
          </cell>
          <cell r="D1369">
            <v>1</v>
          </cell>
          <cell r="E1369" t="str">
            <v>m</v>
          </cell>
          <cell r="F1369">
            <v>2868.6000000000004</v>
          </cell>
          <cell r="G1369">
            <v>0</v>
          </cell>
          <cell r="H1369">
            <v>0</v>
          </cell>
          <cell r="I1369">
            <v>2868.6</v>
          </cell>
        </row>
        <row r="1370">
          <cell r="A1370" t="str">
            <v>O632112</v>
          </cell>
          <cell r="B1370" t="str">
            <v>Otros</v>
          </cell>
          <cell r="C1370" t="str">
            <v>Sum./Instalación Tope Granito Imp.</v>
          </cell>
          <cell r="D1370">
            <v>6.4560000000000004</v>
          </cell>
          <cell r="E1370" t="str">
            <v>p²</v>
          </cell>
          <cell r="F1370">
            <v>444.33085501858739</v>
          </cell>
          <cell r="G1370">
            <v>2868.6000000000004</v>
          </cell>
          <cell r="H1370">
            <v>0</v>
          </cell>
          <cell r="I1370">
            <v>2868.6000000000004</v>
          </cell>
        </row>
        <row r="1371">
          <cell r="A1371">
            <v>0</v>
          </cell>
          <cell r="B1371">
            <v>0</v>
          </cell>
          <cell r="C1371" t="str">
            <v>Total 01.20.04</v>
          </cell>
          <cell r="D1371">
            <v>1</v>
          </cell>
          <cell r="E1371">
            <v>0</v>
          </cell>
          <cell r="F1371">
            <v>2868.6000000000004</v>
          </cell>
          <cell r="G1371">
            <v>0</v>
          </cell>
          <cell r="H1371">
            <v>0</v>
          </cell>
          <cell r="I1371">
            <v>2868.6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01.20.05</v>
          </cell>
          <cell r="B1373" t="str">
            <v>Partida</v>
          </cell>
          <cell r="C1373" t="str">
            <v>Tope de granito natural color gris en Control y Monitoreo</v>
          </cell>
          <cell r="D1373">
            <v>1</v>
          </cell>
          <cell r="E1373" t="str">
            <v>m²</v>
          </cell>
          <cell r="F1373">
            <v>4781</v>
          </cell>
          <cell r="G1373">
            <v>0</v>
          </cell>
          <cell r="H1373">
            <v>0</v>
          </cell>
          <cell r="I1373">
            <v>4781</v>
          </cell>
        </row>
        <row r="1374">
          <cell r="A1374" t="str">
            <v>O632112</v>
          </cell>
          <cell r="B1374" t="str">
            <v>Otros</v>
          </cell>
          <cell r="C1374" t="str">
            <v>Sum./Instalación Tope Granito Imp.</v>
          </cell>
          <cell r="D1374">
            <v>10.76</v>
          </cell>
          <cell r="E1374" t="str">
            <v>p²</v>
          </cell>
          <cell r="F1374">
            <v>444.33085501858739</v>
          </cell>
          <cell r="G1374">
            <v>4781</v>
          </cell>
          <cell r="H1374">
            <v>0</v>
          </cell>
          <cell r="I1374">
            <v>4781</v>
          </cell>
        </row>
        <row r="1375">
          <cell r="A1375">
            <v>0</v>
          </cell>
          <cell r="B1375">
            <v>0</v>
          </cell>
          <cell r="C1375" t="str">
            <v>Total 01.20.05</v>
          </cell>
          <cell r="D1375">
            <v>1</v>
          </cell>
          <cell r="E1375">
            <v>0</v>
          </cell>
          <cell r="F1375">
            <v>4781</v>
          </cell>
          <cell r="G1375">
            <v>0</v>
          </cell>
          <cell r="H1375">
            <v>0</v>
          </cell>
          <cell r="I1375">
            <v>4781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01.20.06</v>
          </cell>
          <cell r="B1377" t="str">
            <v>Partida</v>
          </cell>
          <cell r="C1377" t="str">
            <v>Tope de marmolite</v>
          </cell>
          <cell r="D1377">
            <v>1</v>
          </cell>
          <cell r="E1377" t="str">
            <v>p²</v>
          </cell>
          <cell r="F1377">
            <v>600</v>
          </cell>
          <cell r="G1377">
            <v>0</v>
          </cell>
          <cell r="H1377">
            <v>0</v>
          </cell>
          <cell r="I1377">
            <v>600</v>
          </cell>
        </row>
        <row r="1378">
          <cell r="A1378" t="str">
            <v>O632113</v>
          </cell>
          <cell r="B1378" t="str">
            <v>Otros</v>
          </cell>
          <cell r="C1378" t="str">
            <v>Sum./Instalación Tope de marmolite</v>
          </cell>
          <cell r="D1378">
            <v>1</v>
          </cell>
          <cell r="E1378" t="str">
            <v>p²</v>
          </cell>
          <cell r="F1378">
            <v>600</v>
          </cell>
          <cell r="G1378">
            <v>600</v>
          </cell>
          <cell r="H1378">
            <v>0</v>
          </cell>
          <cell r="I1378">
            <v>600</v>
          </cell>
        </row>
        <row r="1379">
          <cell r="A1379">
            <v>0</v>
          </cell>
          <cell r="B1379">
            <v>0</v>
          </cell>
          <cell r="C1379" t="str">
            <v>Total 01.20.06</v>
          </cell>
          <cell r="D1379">
            <v>1</v>
          </cell>
          <cell r="E1379">
            <v>0</v>
          </cell>
          <cell r="F1379">
            <v>600</v>
          </cell>
          <cell r="G1379">
            <v>0</v>
          </cell>
          <cell r="H1379">
            <v>0</v>
          </cell>
          <cell r="I1379">
            <v>600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01.21</v>
          </cell>
          <cell r="B1382" t="str">
            <v>Capítulo</v>
          </cell>
          <cell r="C1382" t="str">
            <v>PLAFONES:</v>
          </cell>
          <cell r="D1382">
            <v>0</v>
          </cell>
          <cell r="E1382" t="str">
            <v/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01.21.01</v>
          </cell>
          <cell r="B1383" t="str">
            <v>Partida</v>
          </cell>
          <cell r="C1383" t="str">
            <v>Plafón blanco en PVC</v>
          </cell>
          <cell r="D1383">
            <v>1</v>
          </cell>
          <cell r="E1383" t="str">
            <v>m²</v>
          </cell>
          <cell r="F1383">
            <v>650</v>
          </cell>
          <cell r="G1383">
            <v>0</v>
          </cell>
          <cell r="H1383">
            <v>0</v>
          </cell>
          <cell r="I1383">
            <v>650</v>
          </cell>
        </row>
        <row r="1384">
          <cell r="A1384" t="str">
            <v>P4011006</v>
          </cell>
          <cell r="B1384" t="str">
            <v>Otros</v>
          </cell>
          <cell r="C1384" t="str">
            <v>Sum./ Instal. de Plafón de PVC en Baños</v>
          </cell>
          <cell r="D1384">
            <v>1</v>
          </cell>
          <cell r="E1384" t="str">
            <v>m²</v>
          </cell>
          <cell r="F1384">
            <v>650</v>
          </cell>
          <cell r="G1384">
            <v>650</v>
          </cell>
          <cell r="H1384">
            <v>0</v>
          </cell>
          <cell r="I1384">
            <v>650</v>
          </cell>
        </row>
        <row r="1385">
          <cell r="A1385">
            <v>0</v>
          </cell>
          <cell r="B1385">
            <v>0</v>
          </cell>
          <cell r="C1385" t="str">
            <v>Total 01.21.01</v>
          </cell>
          <cell r="D1385">
            <v>1</v>
          </cell>
          <cell r="E1385">
            <v>0</v>
          </cell>
          <cell r="F1385">
            <v>650</v>
          </cell>
          <cell r="G1385">
            <v>0</v>
          </cell>
          <cell r="H1385">
            <v>0</v>
          </cell>
          <cell r="I1385">
            <v>650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01.22</v>
          </cell>
          <cell r="B1387" t="str">
            <v>Capítulo</v>
          </cell>
          <cell r="C1387" t="str">
            <v>OTROS:</v>
          </cell>
          <cell r="D1387">
            <v>0</v>
          </cell>
          <cell r="E1387" t="str">
            <v/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01.22.01</v>
          </cell>
          <cell r="B1388" t="str">
            <v>Partida</v>
          </cell>
          <cell r="C1388" t="str">
            <v>Perfiles metálicos HSS 2" x 2" x 20' en hueco ventana</v>
          </cell>
          <cell r="D1388">
            <v>1</v>
          </cell>
          <cell r="E1388" t="str">
            <v>m²</v>
          </cell>
          <cell r="F1388">
            <v>0</v>
          </cell>
          <cell r="G1388">
            <v>7636.0890936959986</v>
          </cell>
          <cell r="H1388">
            <v>523.74974399999996</v>
          </cell>
          <cell r="I1388">
            <v>8159.8388376959992</v>
          </cell>
        </row>
        <row r="1389">
          <cell r="A1389" t="str">
            <v>P0405022</v>
          </cell>
          <cell r="B1389" t="str">
            <v>Material</v>
          </cell>
          <cell r="C1389" t="str">
            <v>Tubo Rectangular HSS2X2X1/4, A500 Gr. B</v>
          </cell>
          <cell r="D1389">
            <v>126.50959999999998</v>
          </cell>
          <cell r="E1389" t="str">
            <v>lb</v>
          </cell>
          <cell r="F1389">
            <v>23</v>
          </cell>
          <cell r="G1389">
            <v>2909.7207999999996</v>
          </cell>
          <cell r="H1389">
            <v>523.74974399999996</v>
          </cell>
          <cell r="I1389">
            <v>3433.4705439999998</v>
          </cell>
        </row>
        <row r="1390">
          <cell r="A1390" t="str">
            <v>H5421425</v>
          </cell>
          <cell r="B1390" t="str">
            <v>Mano de obra</v>
          </cell>
          <cell r="C1390" t="str">
            <v>M.O. Fabr./ Instalación Estructura Metálica, Inc. Pintura</v>
          </cell>
          <cell r="D1390">
            <v>126.50959999999998</v>
          </cell>
          <cell r="E1390" t="str">
            <v>lb</v>
          </cell>
          <cell r="F1390">
            <v>18.8</v>
          </cell>
          <cell r="G1390">
            <v>2378.3804799999998</v>
          </cell>
          <cell r="H1390">
            <v>0</v>
          </cell>
          <cell r="I1390">
            <v>2378.3804799999998</v>
          </cell>
        </row>
        <row r="1391">
          <cell r="A1391" t="str">
            <v>%HEM</v>
          </cell>
          <cell r="B1391" t="str">
            <v>Otros</v>
          </cell>
          <cell r="C1391" t="str">
            <v>Herramientas Especiales Inst. Estructura Metálica</v>
          </cell>
          <cell r="D1391">
            <v>17</v>
          </cell>
          <cell r="E1391" t="str">
            <v>%</v>
          </cell>
          <cell r="F1391">
            <v>5811.8510239999996</v>
          </cell>
          <cell r="G1391">
            <v>988.01467407999996</v>
          </cell>
          <cell r="H1391">
            <v>0</v>
          </cell>
          <cell r="I1391">
            <v>988.01467407999996</v>
          </cell>
        </row>
        <row r="1392">
          <cell r="A1392" t="str">
            <v>%IEM</v>
          </cell>
          <cell r="B1392" t="str">
            <v>Otros</v>
          </cell>
          <cell r="C1392" t="str">
            <v>Indirectos Sub-Contrato Instalación Estructura Metálica</v>
          </cell>
          <cell r="D1392">
            <v>20</v>
          </cell>
          <cell r="E1392" t="str">
            <v>%</v>
          </cell>
          <cell r="F1392">
            <v>6799.8656980799997</v>
          </cell>
          <cell r="G1392">
            <v>1359.973139616</v>
          </cell>
          <cell r="H1392">
            <v>0</v>
          </cell>
          <cell r="I1392">
            <v>1359.973139616</v>
          </cell>
        </row>
        <row r="1393">
          <cell r="A1393">
            <v>0</v>
          </cell>
          <cell r="B1393">
            <v>0</v>
          </cell>
          <cell r="C1393" t="str">
            <v>Total 01.22.01</v>
          </cell>
          <cell r="D1393">
            <v>1</v>
          </cell>
          <cell r="E1393">
            <v>0</v>
          </cell>
          <cell r="F1393">
            <v>0</v>
          </cell>
          <cell r="G1393">
            <v>7636.0890936959986</v>
          </cell>
          <cell r="H1393">
            <v>523.74974399999996</v>
          </cell>
          <cell r="I1393">
            <v>8159.8388376959992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01.22.02</v>
          </cell>
          <cell r="B1395" t="str">
            <v>Partida</v>
          </cell>
          <cell r="C1395" t="str">
            <v>Perfiles metálicos HSS 6" x 4" x 40' en fachada de edificio</v>
          </cell>
          <cell r="D1395">
            <v>1</v>
          </cell>
          <cell r="E1395" t="str">
            <v>m²</v>
          </cell>
          <cell r="F1395">
            <v>0</v>
          </cell>
          <cell r="G1395">
            <v>10823.567299775998</v>
          </cell>
          <cell r="H1395">
            <v>742.37486399999977</v>
          </cell>
          <cell r="I1395">
            <v>11565.942163775997</v>
          </cell>
        </row>
        <row r="1396">
          <cell r="A1396" t="str">
            <v>P0405023</v>
          </cell>
          <cell r="B1396" t="str">
            <v>Material</v>
          </cell>
          <cell r="C1396" t="str">
            <v>Tubo Rectangular HSS6X4X1/4, A500 Gr. B</v>
          </cell>
          <cell r="D1396">
            <v>179.31759999999997</v>
          </cell>
          <cell r="E1396" t="str">
            <v>lb</v>
          </cell>
          <cell r="F1396">
            <v>23</v>
          </cell>
          <cell r="G1396">
            <v>4124.304799999999</v>
          </cell>
          <cell r="H1396">
            <v>742.37486399999977</v>
          </cell>
          <cell r="I1396">
            <v>4866.6796639999984</v>
          </cell>
        </row>
        <row r="1397">
          <cell r="A1397" t="str">
            <v>H5421425</v>
          </cell>
          <cell r="B1397" t="str">
            <v>Mano de obra</v>
          </cell>
          <cell r="C1397" t="str">
            <v>M.O. Fabr./ Instalación Estructura Metálica, Inc. Pintura</v>
          </cell>
          <cell r="D1397">
            <v>179.31759999999997</v>
          </cell>
          <cell r="E1397" t="str">
            <v>lb</v>
          </cell>
          <cell r="F1397">
            <v>18.8</v>
          </cell>
          <cell r="G1397">
            <v>3371.1708799999997</v>
          </cell>
          <cell r="H1397">
            <v>0</v>
          </cell>
          <cell r="I1397">
            <v>3371.1708799999997</v>
          </cell>
        </row>
        <row r="1398">
          <cell r="A1398" t="str">
            <v>%HEM</v>
          </cell>
          <cell r="B1398" t="str">
            <v>Otros</v>
          </cell>
          <cell r="C1398" t="str">
            <v>Herramientas Especiales Inst. Estructura Metálica</v>
          </cell>
          <cell r="D1398">
            <v>17</v>
          </cell>
          <cell r="E1398" t="str">
            <v>%</v>
          </cell>
          <cell r="F1398">
            <v>8237.8505439999972</v>
          </cell>
          <cell r="G1398">
            <v>1400.4345924799995</v>
          </cell>
          <cell r="H1398">
            <v>0</v>
          </cell>
          <cell r="I1398">
            <v>1400.4345924799995</v>
          </cell>
        </row>
        <row r="1399">
          <cell r="A1399" t="str">
            <v>%IEM</v>
          </cell>
          <cell r="B1399" t="str">
            <v>Otros</v>
          </cell>
          <cell r="C1399" t="str">
            <v>Indirectos Sub-Contrato Instalación Estructura Metálica</v>
          </cell>
          <cell r="D1399">
            <v>20</v>
          </cell>
          <cell r="E1399" t="str">
            <v>%</v>
          </cell>
          <cell r="F1399">
            <v>9638.2851364799972</v>
          </cell>
          <cell r="G1399">
            <v>1927.6570272959996</v>
          </cell>
          <cell r="H1399">
            <v>0</v>
          </cell>
          <cell r="I1399">
            <v>1927.6570272959996</v>
          </cell>
        </row>
        <row r="1400">
          <cell r="A1400">
            <v>0</v>
          </cell>
          <cell r="B1400">
            <v>0</v>
          </cell>
          <cell r="C1400" t="str">
            <v>Total 01.22.02</v>
          </cell>
          <cell r="D1400">
            <v>1</v>
          </cell>
          <cell r="E1400">
            <v>0</v>
          </cell>
          <cell r="F1400">
            <v>0</v>
          </cell>
          <cell r="G1400">
            <v>10823.567299775998</v>
          </cell>
          <cell r="H1400">
            <v>742.37486399999977</v>
          </cell>
          <cell r="I1400">
            <v>11565.942163775997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01.22.03</v>
          </cell>
          <cell r="B1402" t="str">
            <v>Partida</v>
          </cell>
          <cell r="C1402" t="str">
            <v>Perfiles HSS 2"*4" en área de escalera</v>
          </cell>
          <cell r="D1402">
            <v>1</v>
          </cell>
          <cell r="E1402" t="str">
            <v>m²</v>
          </cell>
          <cell r="F1402">
            <v>0</v>
          </cell>
          <cell r="G1402">
            <v>12209.427389376</v>
          </cell>
          <cell r="H1402">
            <v>837.42926399999999</v>
          </cell>
          <cell r="I1402">
            <v>13046.856653376002</v>
          </cell>
        </row>
        <row r="1403">
          <cell r="A1403" t="str">
            <v>P0405024</v>
          </cell>
          <cell r="B1403" t="str">
            <v>Material</v>
          </cell>
          <cell r="C1403" t="str">
            <v>Tubo Rectangular HSS2X4X1/4, A500 Gr. B</v>
          </cell>
          <cell r="D1403">
            <v>202.27759999999998</v>
          </cell>
          <cell r="E1403" t="str">
            <v>lb</v>
          </cell>
          <cell r="F1403">
            <v>23</v>
          </cell>
          <cell r="G1403">
            <v>4652.3847999999998</v>
          </cell>
          <cell r="H1403">
            <v>837.42926399999999</v>
          </cell>
          <cell r="I1403">
            <v>5489.8140640000001</v>
          </cell>
        </row>
        <row r="1404">
          <cell r="A1404" t="str">
            <v>H5421425</v>
          </cell>
          <cell r="B1404" t="str">
            <v>Mano de obra</v>
          </cell>
          <cell r="C1404" t="str">
            <v>M.O. Fabr./ Instalación Estructura Metálica, Inc. Pintura</v>
          </cell>
          <cell r="D1404">
            <v>202.27759999999998</v>
          </cell>
          <cell r="E1404" t="str">
            <v>lb</v>
          </cell>
          <cell r="F1404">
            <v>18.8</v>
          </cell>
          <cell r="G1404">
            <v>3802.8188799999998</v>
          </cell>
          <cell r="H1404">
            <v>0</v>
          </cell>
          <cell r="I1404">
            <v>3802.8188799999998</v>
          </cell>
        </row>
        <row r="1405">
          <cell r="A1405" t="str">
            <v>%HEM</v>
          </cell>
          <cell r="B1405" t="str">
            <v>Otros</v>
          </cell>
          <cell r="C1405" t="str">
            <v>Herramientas Especiales Inst. Estructura Metálica</v>
          </cell>
          <cell r="D1405">
            <v>17</v>
          </cell>
          <cell r="E1405" t="str">
            <v>%</v>
          </cell>
          <cell r="F1405">
            <v>9292.6329440000009</v>
          </cell>
          <cell r="G1405">
            <v>1579.7476004800003</v>
          </cell>
          <cell r="H1405">
            <v>0</v>
          </cell>
          <cell r="I1405">
            <v>1579.7476004800003</v>
          </cell>
        </row>
        <row r="1406">
          <cell r="A1406" t="str">
            <v>%IEM</v>
          </cell>
          <cell r="B1406" t="str">
            <v>Otros</v>
          </cell>
          <cell r="C1406" t="str">
            <v>Indirectos Sub-Contrato Instalación Estructura Metálica</v>
          </cell>
          <cell r="D1406">
            <v>20</v>
          </cell>
          <cell r="E1406" t="str">
            <v>%</v>
          </cell>
          <cell r="F1406">
            <v>10872.380544480002</v>
          </cell>
          <cell r="G1406">
            <v>2174.4761088960004</v>
          </cell>
          <cell r="H1406">
            <v>0</v>
          </cell>
          <cell r="I1406">
            <v>2174.4761088960004</v>
          </cell>
        </row>
        <row r="1407">
          <cell r="A1407">
            <v>0</v>
          </cell>
          <cell r="B1407">
            <v>0</v>
          </cell>
          <cell r="C1407" t="str">
            <v>Total 01.22.03</v>
          </cell>
          <cell r="D1407">
            <v>1</v>
          </cell>
          <cell r="E1407">
            <v>0</v>
          </cell>
          <cell r="F1407">
            <v>0</v>
          </cell>
          <cell r="G1407">
            <v>12209.427389376</v>
          </cell>
          <cell r="H1407">
            <v>837.42926399999999</v>
          </cell>
          <cell r="I1407">
            <v>13046.856653376002</v>
          </cell>
        </row>
        <row r="1408">
          <cell r="A1408" t="str">
            <v>01.22.04</v>
          </cell>
          <cell r="B1408" t="str">
            <v>Partida</v>
          </cell>
          <cell r="C1408" t="str">
            <v>Gabinete de pared de pino tratado</v>
          </cell>
          <cell r="D1408">
            <v>1</v>
          </cell>
          <cell r="E1408" t="str">
            <v>pies</v>
          </cell>
          <cell r="F1408">
            <v>0</v>
          </cell>
          <cell r="G1408">
            <v>1450</v>
          </cell>
          <cell r="H1408">
            <v>0</v>
          </cell>
          <cell r="I1408">
            <v>1450</v>
          </cell>
        </row>
        <row r="1409">
          <cell r="A1409" t="str">
            <v>O152122</v>
          </cell>
          <cell r="B1409" t="str">
            <v>Otros</v>
          </cell>
          <cell r="C1409" t="str">
            <v>Sum./ Instalación Gabinete de pared de pino tratado</v>
          </cell>
          <cell r="D1409">
            <v>1</v>
          </cell>
          <cell r="E1409" t="str">
            <v>pies</v>
          </cell>
          <cell r="F1409">
            <v>1450</v>
          </cell>
          <cell r="G1409">
            <v>1450</v>
          </cell>
          <cell r="H1409">
            <v>0</v>
          </cell>
          <cell r="I1409">
            <v>1450</v>
          </cell>
        </row>
        <row r="1410">
          <cell r="A1410">
            <v>0</v>
          </cell>
          <cell r="B1410">
            <v>0</v>
          </cell>
          <cell r="C1410" t="str">
            <v>Total 01.22.04</v>
          </cell>
          <cell r="D1410">
            <v>1</v>
          </cell>
          <cell r="E1410">
            <v>0</v>
          </cell>
          <cell r="F1410">
            <v>0</v>
          </cell>
          <cell r="G1410">
            <v>1450</v>
          </cell>
          <cell r="H1410">
            <v>0</v>
          </cell>
          <cell r="I1410">
            <v>1450</v>
          </cell>
        </row>
        <row r="1411">
          <cell r="A1411" t="str">
            <v>01.22.05</v>
          </cell>
          <cell r="B1411" t="str">
            <v>Partida</v>
          </cell>
          <cell r="C1411" t="str">
            <v>Gabinete de piso de pino tratado</v>
          </cell>
          <cell r="D1411">
            <v>1</v>
          </cell>
          <cell r="E1411" t="str">
            <v>pies</v>
          </cell>
          <cell r="F1411">
            <v>0</v>
          </cell>
          <cell r="G1411">
            <v>1500</v>
          </cell>
          <cell r="H1411">
            <v>0</v>
          </cell>
          <cell r="I1411">
            <v>1500</v>
          </cell>
        </row>
        <row r="1412">
          <cell r="A1412" t="str">
            <v>O152123</v>
          </cell>
          <cell r="B1412" t="str">
            <v>Otros</v>
          </cell>
          <cell r="C1412" t="str">
            <v>Gabinete de piso de pino tratado</v>
          </cell>
          <cell r="D1412">
            <v>1</v>
          </cell>
          <cell r="E1412" t="str">
            <v>pies</v>
          </cell>
          <cell r="F1412">
            <v>1500</v>
          </cell>
          <cell r="G1412">
            <v>1500</v>
          </cell>
          <cell r="H1412">
            <v>0</v>
          </cell>
          <cell r="I1412">
            <v>1500</v>
          </cell>
        </row>
        <row r="1413">
          <cell r="A1413">
            <v>0</v>
          </cell>
          <cell r="B1413">
            <v>0</v>
          </cell>
          <cell r="C1413" t="str">
            <v>Total 01.22.05</v>
          </cell>
          <cell r="D1413">
            <v>1</v>
          </cell>
          <cell r="E1413">
            <v>0</v>
          </cell>
          <cell r="F1413">
            <v>0</v>
          </cell>
          <cell r="G1413">
            <v>1500</v>
          </cell>
          <cell r="H1413">
            <v>0</v>
          </cell>
          <cell r="I1413">
            <v>1500</v>
          </cell>
        </row>
        <row r="1414">
          <cell r="A1414" t="str">
            <v>01.22.06</v>
          </cell>
          <cell r="B1414" t="str">
            <v>Partida</v>
          </cell>
          <cell r="C1414" t="str">
            <v xml:space="preserve">Laminado one vision </v>
          </cell>
          <cell r="D1414">
            <v>1</v>
          </cell>
          <cell r="E1414" t="str">
            <v>p²</v>
          </cell>
          <cell r="F1414">
            <v>0</v>
          </cell>
          <cell r="G1414">
            <v>218.988</v>
          </cell>
          <cell r="H1414">
            <v>0</v>
          </cell>
          <cell r="I1414">
            <v>218.988</v>
          </cell>
        </row>
        <row r="1415">
          <cell r="A1415" t="str">
            <v>O155128</v>
          </cell>
          <cell r="B1415" t="str">
            <v>Otros</v>
          </cell>
          <cell r="C1415" t="str">
            <v xml:space="preserve">Sum./ Instalación Laminado one vision </v>
          </cell>
          <cell r="D1415">
            <v>1</v>
          </cell>
          <cell r="E1415" t="str">
            <v>p²</v>
          </cell>
          <cell r="F1415">
            <v>218.988</v>
          </cell>
          <cell r="G1415">
            <v>218.988</v>
          </cell>
          <cell r="H1415">
            <v>0</v>
          </cell>
          <cell r="I1415">
            <v>218.988</v>
          </cell>
        </row>
        <row r="1416">
          <cell r="A1416">
            <v>0</v>
          </cell>
          <cell r="B1416">
            <v>0</v>
          </cell>
          <cell r="C1416" t="str">
            <v>Total 01.22.06</v>
          </cell>
          <cell r="D1416">
            <v>1</v>
          </cell>
          <cell r="E1416">
            <v>0</v>
          </cell>
          <cell r="F1416">
            <v>0</v>
          </cell>
          <cell r="G1416">
            <v>218.988</v>
          </cell>
          <cell r="H1416">
            <v>0</v>
          </cell>
          <cell r="I1416">
            <v>218.988</v>
          </cell>
        </row>
        <row r="1417">
          <cell r="A1417" t="str">
            <v>01.22.07</v>
          </cell>
          <cell r="B1417" t="str">
            <v>Partida</v>
          </cell>
          <cell r="C1417" t="str">
            <v>Limpieza continua y final</v>
          </cell>
          <cell r="D1417">
            <v>1</v>
          </cell>
          <cell r="E1417" t="str">
            <v>pa</v>
          </cell>
          <cell r="F1417">
            <v>0</v>
          </cell>
          <cell r="G1417">
            <v>3750019.74</v>
          </cell>
          <cell r="H1417">
            <v>0</v>
          </cell>
          <cell r="I1417">
            <v>3750019.74</v>
          </cell>
        </row>
        <row r="1418">
          <cell r="A1418" t="str">
            <v>PTR1521</v>
          </cell>
          <cell r="B1418" t="str">
            <v>Partida</v>
          </cell>
          <cell r="C1418" t="str">
            <v>Personal por la Casa (20 obreros x 9 meses x 26 dias)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H0105056</v>
          </cell>
          <cell r="B1419" t="str">
            <v>Mano de obra</v>
          </cell>
          <cell r="C1419" t="str">
            <v>M.O. Ayudante o Peon</v>
          </cell>
          <cell r="D1419">
            <v>4680</v>
          </cell>
          <cell r="E1419" t="str">
            <v>d</v>
          </cell>
          <cell r="F1419">
            <v>650.54999999999995</v>
          </cell>
          <cell r="G1419">
            <v>3044574</v>
          </cell>
          <cell r="H1419">
            <v>0</v>
          </cell>
          <cell r="I1419">
            <v>3044574</v>
          </cell>
        </row>
        <row r="1420">
          <cell r="A1420" t="str">
            <v>H%FH</v>
          </cell>
          <cell r="B1420" t="str">
            <v>Otros</v>
          </cell>
          <cell r="C1420" t="str">
            <v>Factor Herramientas</v>
          </cell>
          <cell r="D1420">
            <v>1</v>
          </cell>
          <cell r="E1420" t="str">
            <v>%</v>
          </cell>
          <cell r="F1420">
            <v>3044574</v>
          </cell>
          <cell r="G1420">
            <v>30445.74</v>
          </cell>
          <cell r="H1420">
            <v>0</v>
          </cell>
          <cell r="I1420">
            <v>30445.74</v>
          </cell>
        </row>
        <row r="1421">
          <cell r="A1421" t="str">
            <v>PTR1522</v>
          </cell>
          <cell r="B1421" t="str">
            <v>Partida</v>
          </cell>
          <cell r="C1421" t="str">
            <v>Bote de Escombros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M153212</v>
          </cell>
          <cell r="B1422">
            <v>0</v>
          </cell>
          <cell r="C1422" t="str">
            <v>Bote de Escombros</v>
          </cell>
          <cell r="D1422">
            <v>9</v>
          </cell>
          <cell r="E1422" t="str">
            <v>mes</v>
          </cell>
          <cell r="F1422">
            <v>75000</v>
          </cell>
          <cell r="G1422">
            <v>675000</v>
          </cell>
          <cell r="H1422">
            <v>0</v>
          </cell>
          <cell r="I1422">
            <v>675000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>
            <v>0</v>
          </cell>
          <cell r="B1424">
            <v>0</v>
          </cell>
          <cell r="C1424" t="str">
            <v>Total 01.22.07</v>
          </cell>
          <cell r="D1424">
            <v>1</v>
          </cell>
          <cell r="E1424">
            <v>0</v>
          </cell>
          <cell r="F1424">
            <v>0</v>
          </cell>
          <cell r="G1424">
            <v>3750019.74</v>
          </cell>
          <cell r="H1424">
            <v>0</v>
          </cell>
          <cell r="I1424">
            <v>3750019.74</v>
          </cell>
        </row>
        <row r="1425">
          <cell r="A1425" t="str">
            <v>01.22.08</v>
          </cell>
          <cell r="B1425" t="str">
            <v>Partida</v>
          </cell>
          <cell r="C1425" t="str">
            <v>Tubo metalico en Area de Recpecion, HSS 4'' X 4'' X 1/4', 10UDS Altura=13.60mts</v>
          </cell>
          <cell r="D1425">
            <v>1</v>
          </cell>
          <cell r="E1425" t="str">
            <v>u</v>
          </cell>
          <cell r="F1425">
            <v>0</v>
          </cell>
          <cell r="G1425">
            <v>32875.769005516799</v>
          </cell>
          <cell r="H1425">
            <v>2254.9076351999997</v>
          </cell>
          <cell r="I1425">
            <v>35130.676640716796</v>
          </cell>
        </row>
        <row r="1426">
          <cell r="A1426" t="str">
            <v>P0405025</v>
          </cell>
          <cell r="B1426" t="str">
            <v>Material</v>
          </cell>
          <cell r="C1426" t="str">
            <v>Tubo Rectangular HSS4X4X1/4, A500 Gr. B</v>
          </cell>
          <cell r="D1426">
            <v>544.66368</v>
          </cell>
          <cell r="E1426" t="str">
            <v>lb</v>
          </cell>
          <cell r="F1426">
            <v>23</v>
          </cell>
          <cell r="G1426">
            <v>12527.264639999999</v>
          </cell>
          <cell r="H1426">
            <v>2254.9076351999997</v>
          </cell>
          <cell r="I1426">
            <v>14782.172275199999</v>
          </cell>
        </row>
        <row r="1427">
          <cell r="A1427" t="str">
            <v>H5421425</v>
          </cell>
          <cell r="B1427" t="str">
            <v>Mano de obra</v>
          </cell>
          <cell r="C1427" t="str">
            <v>M.O. Fabr./ Instalación Estructura Metálica, Inc. Pintura</v>
          </cell>
          <cell r="D1427">
            <v>544.66368</v>
          </cell>
          <cell r="E1427" t="str">
            <v>lb</v>
          </cell>
          <cell r="F1427">
            <v>18.8</v>
          </cell>
          <cell r="G1427">
            <v>10239.677184</v>
          </cell>
          <cell r="H1427">
            <v>0</v>
          </cell>
          <cell r="I1427">
            <v>10239.677184</v>
          </cell>
        </row>
        <row r="1428">
          <cell r="A1428" t="str">
            <v>%HEM</v>
          </cell>
          <cell r="B1428" t="str">
            <v>Otros</v>
          </cell>
          <cell r="C1428" t="str">
            <v>Herramientas Especiales Inst. Estructura Metálica</v>
          </cell>
          <cell r="D1428">
            <v>17</v>
          </cell>
          <cell r="E1428" t="str">
            <v>%</v>
          </cell>
          <cell r="F1428">
            <v>25021.849459199999</v>
          </cell>
          <cell r="G1428">
            <v>4253.7144080640001</v>
          </cell>
          <cell r="H1428">
            <v>0</v>
          </cell>
          <cell r="I1428">
            <v>4253.7144080640001</v>
          </cell>
        </row>
        <row r="1429">
          <cell r="A1429" t="str">
            <v>%IEM</v>
          </cell>
          <cell r="B1429" t="str">
            <v>Otros</v>
          </cell>
          <cell r="C1429" t="str">
            <v>Indirectos Sub-Contrato Instalación Estructura Metálica</v>
          </cell>
          <cell r="D1429">
            <v>20</v>
          </cell>
          <cell r="E1429" t="str">
            <v>%</v>
          </cell>
          <cell r="F1429">
            <v>29275.563867263998</v>
          </cell>
          <cell r="G1429">
            <v>5855.1127734528</v>
          </cell>
          <cell r="H1429">
            <v>0</v>
          </cell>
          <cell r="I1429">
            <v>5855.1127734528</v>
          </cell>
        </row>
        <row r="1430">
          <cell r="A1430">
            <v>0</v>
          </cell>
          <cell r="B1430">
            <v>0</v>
          </cell>
          <cell r="C1430" t="str">
            <v>Total 01.22.08</v>
          </cell>
          <cell r="D1430">
            <v>1</v>
          </cell>
          <cell r="E1430">
            <v>0</v>
          </cell>
          <cell r="F1430">
            <v>0</v>
          </cell>
          <cell r="G1430">
            <v>32875.769005516799</v>
          </cell>
          <cell r="H1430">
            <v>2254.9076351999997</v>
          </cell>
          <cell r="I1430">
            <v>35130.676640716796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CC-005 ANDAMIOS"/>
      <sheetName val="FCC-002 ACERO"/>
      <sheetName val="FCC-004 CALZ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Precios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  <sheetName val="DATA Staff"/>
      <sheetName val="Operating Cost Summary T 5.20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MEMO CUB-2VOL. FRESADO"/>
      <sheetName val="MEMO CUB-2 AREA FRESADA"/>
      <sheetName val="CUBICACION No 2"/>
      <sheetName val="plan para cubicar por mes"/>
      <sheetName val="Ins"/>
      <sheetName val="M.O."/>
      <sheetName val="Precios"/>
      <sheetName val="RESUMEN BARAHONA (JULIO 2019)"/>
      <sheetName val="RESUMEN BARAHONA (JUNIO 2019)"/>
      <sheetName val="RESUMEN BARAHONA (MAYO 2019)"/>
      <sheetName val="CUB. #03 BARAHONA (JULIO 2019)"/>
      <sheetName val="CUB. #02 BARAHONA (JUNIO 2019)"/>
      <sheetName val="O.C.  CUB. #1 (MAYO 2019) "/>
      <sheetName val="O.C.  CUB. #2 (JUNIO 2019)"/>
      <sheetName val="SUST. VIVIENDA #3 (JUNIO 2019)"/>
      <sheetName val="SUST. VIVIENDA #2 (JUNIO 2019)"/>
      <sheetName val=" EDUCATIVO JUNIO  2019 "/>
      <sheetName val="O.C.  CUB. #3 (JULIO 2019)"/>
      <sheetName val="SUST. IMPREVISTOS (JUNIO 2019"/>
      <sheetName val="SUST. IMPREVISTOS (JULIO 2019)"/>
      <sheetName val="SUST. VERJA EXT. (JULIO 2019)"/>
      <sheetName val="Educativo (JULIO 2019)"/>
      <sheetName val="Administrativo (JULIO 2019)"/>
      <sheetName val="Administrativo (JUNIO 2019) "/>
      <sheetName val="Taller (JULIO 2019)"/>
      <sheetName val="SUST. VIVIENDA #1 (AGOSTO 2019)"/>
      <sheetName val="SUST. VIVIENDA #2 (AGOSTO 2019)"/>
      <sheetName val="SUST. VIVIENDA #3 (AGOSTO 2019)"/>
      <sheetName val="SUST. VIVIENDA #1 (JUNIO 2019)"/>
      <sheetName val="SUST. VERJA EXT. (JUNIO 2019)"/>
      <sheetName val="Administrativo (Mayo 2019)"/>
      <sheetName val="Taller (Mayo 2019) "/>
      <sheetName val="CUB. #01 BARAHONA (Mayo 2019) "/>
      <sheetName val="SUST. IMPREVISTOS (MAYO 2019)"/>
      <sheetName val="SEGUROS Y FIANZAS (MAYO 2019)"/>
      <sheetName val="SUST. MOV. TIERRA MAYO 2019"/>
      <sheetName val="SUST. VERJA EXT. (MAYO 2019)"/>
      <sheetName val="Educativo (Mayo 2019)"/>
      <sheetName val="SUST. VIVIENDA #3 (Mayo. 2019)"/>
      <sheetName val="SUST. VIVIENDA #2 (Mayo. 2019)"/>
      <sheetName val="SUST. VIVIENDA #1 (Mayo. 2019)"/>
      <sheetName val="SCHEDULE D1- Equipment Rates"/>
      <sheetName val="SCHEDULE C1 All Inclusive Labor"/>
      <sheetName val="C.I."/>
      <sheetName val="Precios de Insumos"/>
      <sheetName val="Combustibles"/>
      <sheetName val="SCHEDULE D1 Equipment Rates"/>
      <sheetName val="TRACTOR D6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>
        <row r="4">
          <cell r="F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Analisis IHS (alt)"/>
      <sheetName val="Analisis IHS"/>
      <sheetName val="Analisis Obra Gris"/>
      <sheetName val="Listados de materiales  IHS"/>
      <sheetName val="Mano de obra IHS"/>
      <sheetName val="Mano de obra civil"/>
      <sheetName val="Listado de materiales Obra gr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9">
          <cell r="C279" t="str">
            <v>Tubo 6"x19' PVC SDR  41  (espiga campana 100 psi)</v>
          </cell>
        </row>
        <row r="285">
          <cell r="C285" t="str">
            <v>Codo 6" x 90 PVC Drenaje</v>
          </cell>
        </row>
        <row r="296">
          <cell r="C296" t="str">
            <v>Tee 6" PVC drenaje</v>
          </cell>
        </row>
        <row r="820">
          <cell r="C820" t="str">
            <v>TUERCA C/HEXG. RG 5/8</v>
          </cell>
        </row>
        <row r="834">
          <cell r="C834" t="str">
            <v>Cemento PVC OATEY 16oz</v>
          </cell>
        </row>
        <row r="844">
          <cell r="C844" t="str">
            <v>Abrazadera tipo unitrup 6''</v>
          </cell>
        </row>
        <row r="872">
          <cell r="C872" t="str">
            <v>Barra Roscada 5/8X6</v>
          </cell>
        </row>
        <row r="878">
          <cell r="C878" t="str">
            <v>Riel Unitron 1 1/2 x 10</v>
          </cell>
        </row>
      </sheetData>
      <sheetData sheetId="6">
        <row r="79">
          <cell r="C79" t="str">
            <v>Instalación bajante de descarga de más de 4”</v>
          </cell>
        </row>
        <row r="316">
          <cell r="C316" t="str">
            <v>Instalación de pieza especial por diametro por cada boca PVC  6''</v>
          </cell>
        </row>
        <row r="435">
          <cell r="C435" t="str">
            <v>Mano de obra transporte interno</v>
          </cell>
        </row>
        <row r="436">
          <cell r="C436" t="str">
            <v>Herramientas 5% mano de obra</v>
          </cell>
        </row>
        <row r="437">
          <cell r="C437" t="str">
            <v>Mano de obra de colocación de soportería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MO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COSTO INDIRECTO"/>
      <sheetName val="OPERADORES EQUIPOS"/>
      <sheetName val="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Word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Documento_de_Microsoft_Word1.docx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.docx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24"/>
  <sheetViews>
    <sheetView tabSelected="1" view="pageBreakPreview" zoomScaleNormal="100" zoomScaleSheetLayoutView="100" workbookViewId="0">
      <selection activeCell="F12" sqref="F12"/>
    </sheetView>
  </sheetViews>
  <sheetFormatPr baseColWidth="10" defaultColWidth="9.140625" defaultRowHeight="15"/>
  <cols>
    <col min="1" max="1" width="7.7109375" style="530" customWidth="1"/>
    <col min="2" max="2" width="43.140625" style="470" customWidth="1"/>
    <col min="3" max="3" width="8.5703125" style="471" customWidth="1"/>
    <col min="4" max="4" width="5.42578125" style="472" customWidth="1"/>
    <col min="5" max="5" width="10" style="473" customWidth="1"/>
    <col min="6" max="6" width="9.7109375" style="473" customWidth="1"/>
    <col min="7" max="7" width="9.85546875" style="474" customWidth="1"/>
    <col min="8" max="8" width="13.42578125" style="462" customWidth="1"/>
    <col min="9" max="9" width="14.42578125" style="475" customWidth="1"/>
    <col min="10" max="10" width="16.5703125" style="475" customWidth="1"/>
    <col min="11" max="11" width="9.140625" style="475"/>
    <col min="12" max="12" width="13.85546875" style="475" customWidth="1"/>
    <col min="13" max="13" width="11.85546875" style="475" customWidth="1"/>
    <col min="14" max="14" width="9.140625" style="475" customWidth="1"/>
    <col min="15" max="27" width="9.140625" style="475"/>
    <col min="28" max="256" width="9.140625" style="462"/>
    <col min="257" max="257" width="7.42578125" style="462" customWidth="1"/>
    <col min="258" max="258" width="77.42578125" style="462" customWidth="1"/>
    <col min="259" max="259" width="10.5703125" style="462" customWidth="1"/>
    <col min="260" max="260" width="5.140625" style="462" customWidth="1"/>
    <col min="261" max="261" width="13" style="462" customWidth="1"/>
    <col min="262" max="262" width="15.28515625" style="462" customWidth="1"/>
    <col min="263" max="263" width="21.28515625" style="462" customWidth="1"/>
    <col min="264" max="264" width="9.140625" style="462"/>
    <col min="265" max="265" width="26.28515625" style="462" customWidth="1"/>
    <col min="266" max="266" width="16.5703125" style="462" customWidth="1"/>
    <col min="267" max="267" width="9.140625" style="462"/>
    <col min="268" max="268" width="13.85546875" style="462" customWidth="1"/>
    <col min="269" max="512" width="9.140625" style="462"/>
    <col min="513" max="513" width="7.42578125" style="462" customWidth="1"/>
    <col min="514" max="514" width="77.42578125" style="462" customWidth="1"/>
    <col min="515" max="515" width="10.5703125" style="462" customWidth="1"/>
    <col min="516" max="516" width="5.140625" style="462" customWidth="1"/>
    <col min="517" max="517" width="13" style="462" customWidth="1"/>
    <col min="518" max="518" width="15.28515625" style="462" customWidth="1"/>
    <col min="519" max="519" width="21.28515625" style="462" customWidth="1"/>
    <col min="520" max="520" width="9.140625" style="462"/>
    <col min="521" max="521" width="26.28515625" style="462" customWidth="1"/>
    <col min="522" max="522" width="16.5703125" style="462" customWidth="1"/>
    <col min="523" max="523" width="9.140625" style="462"/>
    <col min="524" max="524" width="13.85546875" style="462" customWidth="1"/>
    <col min="525" max="768" width="9.140625" style="462"/>
    <col min="769" max="769" width="7.42578125" style="462" customWidth="1"/>
    <col min="770" max="770" width="77.42578125" style="462" customWidth="1"/>
    <col min="771" max="771" width="10.5703125" style="462" customWidth="1"/>
    <col min="772" max="772" width="5.140625" style="462" customWidth="1"/>
    <col min="773" max="773" width="13" style="462" customWidth="1"/>
    <col min="774" max="774" width="15.28515625" style="462" customWidth="1"/>
    <col min="775" max="775" width="21.28515625" style="462" customWidth="1"/>
    <col min="776" max="776" width="9.140625" style="462"/>
    <col min="777" max="777" width="26.28515625" style="462" customWidth="1"/>
    <col min="778" max="778" width="16.5703125" style="462" customWidth="1"/>
    <col min="779" max="779" width="9.140625" style="462"/>
    <col min="780" max="780" width="13.85546875" style="462" customWidth="1"/>
    <col min="781" max="1024" width="9.140625" style="462"/>
    <col min="1025" max="1025" width="7.42578125" style="462" customWidth="1"/>
    <col min="1026" max="1026" width="77.42578125" style="462" customWidth="1"/>
    <col min="1027" max="1027" width="10.5703125" style="462" customWidth="1"/>
    <col min="1028" max="1028" width="5.140625" style="462" customWidth="1"/>
    <col min="1029" max="1029" width="13" style="462" customWidth="1"/>
    <col min="1030" max="1030" width="15.28515625" style="462" customWidth="1"/>
    <col min="1031" max="1031" width="21.28515625" style="462" customWidth="1"/>
    <col min="1032" max="1032" width="9.140625" style="462"/>
    <col min="1033" max="1033" width="26.28515625" style="462" customWidth="1"/>
    <col min="1034" max="1034" width="16.5703125" style="462" customWidth="1"/>
    <col min="1035" max="1035" width="9.140625" style="462"/>
    <col min="1036" max="1036" width="13.85546875" style="462" customWidth="1"/>
    <col min="1037" max="1280" width="9.140625" style="462"/>
    <col min="1281" max="1281" width="7.42578125" style="462" customWidth="1"/>
    <col min="1282" max="1282" width="77.42578125" style="462" customWidth="1"/>
    <col min="1283" max="1283" width="10.5703125" style="462" customWidth="1"/>
    <col min="1284" max="1284" width="5.140625" style="462" customWidth="1"/>
    <col min="1285" max="1285" width="13" style="462" customWidth="1"/>
    <col min="1286" max="1286" width="15.28515625" style="462" customWidth="1"/>
    <col min="1287" max="1287" width="21.28515625" style="462" customWidth="1"/>
    <col min="1288" max="1288" width="9.140625" style="462"/>
    <col min="1289" max="1289" width="26.28515625" style="462" customWidth="1"/>
    <col min="1290" max="1290" width="16.5703125" style="462" customWidth="1"/>
    <col min="1291" max="1291" width="9.140625" style="462"/>
    <col min="1292" max="1292" width="13.85546875" style="462" customWidth="1"/>
    <col min="1293" max="1536" width="9.140625" style="462"/>
    <col min="1537" max="1537" width="7.42578125" style="462" customWidth="1"/>
    <col min="1538" max="1538" width="77.42578125" style="462" customWidth="1"/>
    <col min="1539" max="1539" width="10.5703125" style="462" customWidth="1"/>
    <col min="1540" max="1540" width="5.140625" style="462" customWidth="1"/>
    <col min="1541" max="1541" width="13" style="462" customWidth="1"/>
    <col min="1542" max="1542" width="15.28515625" style="462" customWidth="1"/>
    <col min="1543" max="1543" width="21.28515625" style="462" customWidth="1"/>
    <col min="1544" max="1544" width="9.140625" style="462"/>
    <col min="1545" max="1545" width="26.28515625" style="462" customWidth="1"/>
    <col min="1546" max="1546" width="16.5703125" style="462" customWidth="1"/>
    <col min="1547" max="1547" width="9.140625" style="462"/>
    <col min="1548" max="1548" width="13.85546875" style="462" customWidth="1"/>
    <col min="1549" max="1792" width="9.140625" style="462"/>
    <col min="1793" max="1793" width="7.42578125" style="462" customWidth="1"/>
    <col min="1794" max="1794" width="77.42578125" style="462" customWidth="1"/>
    <col min="1795" max="1795" width="10.5703125" style="462" customWidth="1"/>
    <col min="1796" max="1796" width="5.140625" style="462" customWidth="1"/>
    <col min="1797" max="1797" width="13" style="462" customWidth="1"/>
    <col min="1798" max="1798" width="15.28515625" style="462" customWidth="1"/>
    <col min="1799" max="1799" width="21.28515625" style="462" customWidth="1"/>
    <col min="1800" max="1800" width="9.140625" style="462"/>
    <col min="1801" max="1801" width="26.28515625" style="462" customWidth="1"/>
    <col min="1802" max="1802" width="16.5703125" style="462" customWidth="1"/>
    <col min="1803" max="1803" width="9.140625" style="462"/>
    <col min="1804" max="1804" width="13.85546875" style="462" customWidth="1"/>
    <col min="1805" max="2048" width="9.140625" style="462"/>
    <col min="2049" max="2049" width="7.42578125" style="462" customWidth="1"/>
    <col min="2050" max="2050" width="77.42578125" style="462" customWidth="1"/>
    <col min="2051" max="2051" width="10.5703125" style="462" customWidth="1"/>
    <col min="2052" max="2052" width="5.140625" style="462" customWidth="1"/>
    <col min="2053" max="2053" width="13" style="462" customWidth="1"/>
    <col min="2054" max="2054" width="15.28515625" style="462" customWidth="1"/>
    <col min="2055" max="2055" width="21.28515625" style="462" customWidth="1"/>
    <col min="2056" max="2056" width="9.140625" style="462"/>
    <col min="2057" max="2057" width="26.28515625" style="462" customWidth="1"/>
    <col min="2058" max="2058" width="16.5703125" style="462" customWidth="1"/>
    <col min="2059" max="2059" width="9.140625" style="462"/>
    <col min="2060" max="2060" width="13.85546875" style="462" customWidth="1"/>
    <col min="2061" max="2304" width="9.140625" style="462"/>
    <col min="2305" max="2305" width="7.42578125" style="462" customWidth="1"/>
    <col min="2306" max="2306" width="77.42578125" style="462" customWidth="1"/>
    <col min="2307" max="2307" width="10.5703125" style="462" customWidth="1"/>
    <col min="2308" max="2308" width="5.140625" style="462" customWidth="1"/>
    <col min="2309" max="2309" width="13" style="462" customWidth="1"/>
    <col min="2310" max="2310" width="15.28515625" style="462" customWidth="1"/>
    <col min="2311" max="2311" width="21.28515625" style="462" customWidth="1"/>
    <col min="2312" max="2312" width="9.140625" style="462"/>
    <col min="2313" max="2313" width="26.28515625" style="462" customWidth="1"/>
    <col min="2314" max="2314" width="16.5703125" style="462" customWidth="1"/>
    <col min="2315" max="2315" width="9.140625" style="462"/>
    <col min="2316" max="2316" width="13.85546875" style="462" customWidth="1"/>
    <col min="2317" max="2560" width="9.140625" style="462"/>
    <col min="2561" max="2561" width="7.42578125" style="462" customWidth="1"/>
    <col min="2562" max="2562" width="77.42578125" style="462" customWidth="1"/>
    <col min="2563" max="2563" width="10.5703125" style="462" customWidth="1"/>
    <col min="2564" max="2564" width="5.140625" style="462" customWidth="1"/>
    <col min="2565" max="2565" width="13" style="462" customWidth="1"/>
    <col min="2566" max="2566" width="15.28515625" style="462" customWidth="1"/>
    <col min="2567" max="2567" width="21.28515625" style="462" customWidth="1"/>
    <col min="2568" max="2568" width="9.140625" style="462"/>
    <col min="2569" max="2569" width="26.28515625" style="462" customWidth="1"/>
    <col min="2570" max="2570" width="16.5703125" style="462" customWidth="1"/>
    <col min="2571" max="2571" width="9.140625" style="462"/>
    <col min="2572" max="2572" width="13.85546875" style="462" customWidth="1"/>
    <col min="2573" max="2816" width="9.140625" style="462"/>
    <col min="2817" max="2817" width="7.42578125" style="462" customWidth="1"/>
    <col min="2818" max="2818" width="77.42578125" style="462" customWidth="1"/>
    <col min="2819" max="2819" width="10.5703125" style="462" customWidth="1"/>
    <col min="2820" max="2820" width="5.140625" style="462" customWidth="1"/>
    <col min="2821" max="2821" width="13" style="462" customWidth="1"/>
    <col min="2822" max="2822" width="15.28515625" style="462" customWidth="1"/>
    <col min="2823" max="2823" width="21.28515625" style="462" customWidth="1"/>
    <col min="2824" max="2824" width="9.140625" style="462"/>
    <col min="2825" max="2825" width="26.28515625" style="462" customWidth="1"/>
    <col min="2826" max="2826" width="16.5703125" style="462" customWidth="1"/>
    <col min="2827" max="2827" width="9.140625" style="462"/>
    <col min="2828" max="2828" width="13.85546875" style="462" customWidth="1"/>
    <col min="2829" max="3072" width="9.140625" style="462"/>
    <col min="3073" max="3073" width="7.42578125" style="462" customWidth="1"/>
    <col min="3074" max="3074" width="77.42578125" style="462" customWidth="1"/>
    <col min="3075" max="3075" width="10.5703125" style="462" customWidth="1"/>
    <col min="3076" max="3076" width="5.140625" style="462" customWidth="1"/>
    <col min="3077" max="3077" width="13" style="462" customWidth="1"/>
    <col min="3078" max="3078" width="15.28515625" style="462" customWidth="1"/>
    <col min="3079" max="3079" width="21.28515625" style="462" customWidth="1"/>
    <col min="3080" max="3080" width="9.140625" style="462"/>
    <col min="3081" max="3081" width="26.28515625" style="462" customWidth="1"/>
    <col min="3082" max="3082" width="16.5703125" style="462" customWidth="1"/>
    <col min="3083" max="3083" width="9.140625" style="462"/>
    <col min="3084" max="3084" width="13.85546875" style="462" customWidth="1"/>
    <col min="3085" max="3328" width="9.140625" style="462"/>
    <col min="3329" max="3329" width="7.42578125" style="462" customWidth="1"/>
    <col min="3330" max="3330" width="77.42578125" style="462" customWidth="1"/>
    <col min="3331" max="3331" width="10.5703125" style="462" customWidth="1"/>
    <col min="3332" max="3332" width="5.140625" style="462" customWidth="1"/>
    <col min="3333" max="3333" width="13" style="462" customWidth="1"/>
    <col min="3334" max="3334" width="15.28515625" style="462" customWidth="1"/>
    <col min="3335" max="3335" width="21.28515625" style="462" customWidth="1"/>
    <col min="3336" max="3336" width="9.140625" style="462"/>
    <col min="3337" max="3337" width="26.28515625" style="462" customWidth="1"/>
    <col min="3338" max="3338" width="16.5703125" style="462" customWidth="1"/>
    <col min="3339" max="3339" width="9.140625" style="462"/>
    <col min="3340" max="3340" width="13.85546875" style="462" customWidth="1"/>
    <col min="3341" max="3584" width="9.140625" style="462"/>
    <col min="3585" max="3585" width="7.42578125" style="462" customWidth="1"/>
    <col min="3586" max="3586" width="77.42578125" style="462" customWidth="1"/>
    <col min="3587" max="3587" width="10.5703125" style="462" customWidth="1"/>
    <col min="3588" max="3588" width="5.140625" style="462" customWidth="1"/>
    <col min="3589" max="3589" width="13" style="462" customWidth="1"/>
    <col min="3590" max="3590" width="15.28515625" style="462" customWidth="1"/>
    <col min="3591" max="3591" width="21.28515625" style="462" customWidth="1"/>
    <col min="3592" max="3592" width="9.140625" style="462"/>
    <col min="3593" max="3593" width="26.28515625" style="462" customWidth="1"/>
    <col min="3594" max="3594" width="16.5703125" style="462" customWidth="1"/>
    <col min="3595" max="3595" width="9.140625" style="462"/>
    <col min="3596" max="3596" width="13.85546875" style="462" customWidth="1"/>
    <col min="3597" max="3840" width="9.140625" style="462"/>
    <col min="3841" max="3841" width="7.42578125" style="462" customWidth="1"/>
    <col min="3842" max="3842" width="77.42578125" style="462" customWidth="1"/>
    <col min="3843" max="3843" width="10.5703125" style="462" customWidth="1"/>
    <col min="3844" max="3844" width="5.140625" style="462" customWidth="1"/>
    <col min="3845" max="3845" width="13" style="462" customWidth="1"/>
    <col min="3846" max="3846" width="15.28515625" style="462" customWidth="1"/>
    <col min="3847" max="3847" width="21.28515625" style="462" customWidth="1"/>
    <col min="3848" max="3848" width="9.140625" style="462"/>
    <col min="3849" max="3849" width="26.28515625" style="462" customWidth="1"/>
    <col min="3850" max="3850" width="16.5703125" style="462" customWidth="1"/>
    <col min="3851" max="3851" width="9.140625" style="462"/>
    <col min="3852" max="3852" width="13.85546875" style="462" customWidth="1"/>
    <col min="3853" max="4096" width="9.140625" style="462"/>
    <col min="4097" max="4097" width="7.42578125" style="462" customWidth="1"/>
    <col min="4098" max="4098" width="77.42578125" style="462" customWidth="1"/>
    <col min="4099" max="4099" width="10.5703125" style="462" customWidth="1"/>
    <col min="4100" max="4100" width="5.140625" style="462" customWidth="1"/>
    <col min="4101" max="4101" width="13" style="462" customWidth="1"/>
    <col min="4102" max="4102" width="15.28515625" style="462" customWidth="1"/>
    <col min="4103" max="4103" width="21.28515625" style="462" customWidth="1"/>
    <col min="4104" max="4104" width="9.140625" style="462"/>
    <col min="4105" max="4105" width="26.28515625" style="462" customWidth="1"/>
    <col min="4106" max="4106" width="16.5703125" style="462" customWidth="1"/>
    <col min="4107" max="4107" width="9.140625" style="462"/>
    <col min="4108" max="4108" width="13.85546875" style="462" customWidth="1"/>
    <col min="4109" max="4352" width="9.140625" style="462"/>
    <col min="4353" max="4353" width="7.42578125" style="462" customWidth="1"/>
    <col min="4354" max="4354" width="77.42578125" style="462" customWidth="1"/>
    <col min="4355" max="4355" width="10.5703125" style="462" customWidth="1"/>
    <col min="4356" max="4356" width="5.140625" style="462" customWidth="1"/>
    <col min="4357" max="4357" width="13" style="462" customWidth="1"/>
    <col min="4358" max="4358" width="15.28515625" style="462" customWidth="1"/>
    <col min="4359" max="4359" width="21.28515625" style="462" customWidth="1"/>
    <col min="4360" max="4360" width="9.140625" style="462"/>
    <col min="4361" max="4361" width="26.28515625" style="462" customWidth="1"/>
    <col min="4362" max="4362" width="16.5703125" style="462" customWidth="1"/>
    <col min="4363" max="4363" width="9.140625" style="462"/>
    <col min="4364" max="4364" width="13.85546875" style="462" customWidth="1"/>
    <col min="4365" max="4608" width="9.140625" style="462"/>
    <col min="4609" max="4609" width="7.42578125" style="462" customWidth="1"/>
    <col min="4610" max="4610" width="77.42578125" style="462" customWidth="1"/>
    <col min="4611" max="4611" width="10.5703125" style="462" customWidth="1"/>
    <col min="4612" max="4612" width="5.140625" style="462" customWidth="1"/>
    <col min="4613" max="4613" width="13" style="462" customWidth="1"/>
    <col min="4614" max="4614" width="15.28515625" style="462" customWidth="1"/>
    <col min="4615" max="4615" width="21.28515625" style="462" customWidth="1"/>
    <col min="4616" max="4616" width="9.140625" style="462"/>
    <col min="4617" max="4617" width="26.28515625" style="462" customWidth="1"/>
    <col min="4618" max="4618" width="16.5703125" style="462" customWidth="1"/>
    <col min="4619" max="4619" width="9.140625" style="462"/>
    <col min="4620" max="4620" width="13.85546875" style="462" customWidth="1"/>
    <col min="4621" max="4864" width="9.140625" style="462"/>
    <col min="4865" max="4865" width="7.42578125" style="462" customWidth="1"/>
    <col min="4866" max="4866" width="77.42578125" style="462" customWidth="1"/>
    <col min="4867" max="4867" width="10.5703125" style="462" customWidth="1"/>
    <col min="4868" max="4868" width="5.140625" style="462" customWidth="1"/>
    <col min="4869" max="4869" width="13" style="462" customWidth="1"/>
    <col min="4870" max="4870" width="15.28515625" style="462" customWidth="1"/>
    <col min="4871" max="4871" width="21.28515625" style="462" customWidth="1"/>
    <col min="4872" max="4872" width="9.140625" style="462"/>
    <col min="4873" max="4873" width="26.28515625" style="462" customWidth="1"/>
    <col min="4874" max="4874" width="16.5703125" style="462" customWidth="1"/>
    <col min="4875" max="4875" width="9.140625" style="462"/>
    <col min="4876" max="4876" width="13.85546875" style="462" customWidth="1"/>
    <col min="4877" max="5120" width="9.140625" style="462"/>
    <col min="5121" max="5121" width="7.42578125" style="462" customWidth="1"/>
    <col min="5122" max="5122" width="77.42578125" style="462" customWidth="1"/>
    <col min="5123" max="5123" width="10.5703125" style="462" customWidth="1"/>
    <col min="5124" max="5124" width="5.140625" style="462" customWidth="1"/>
    <col min="5125" max="5125" width="13" style="462" customWidth="1"/>
    <col min="5126" max="5126" width="15.28515625" style="462" customWidth="1"/>
    <col min="5127" max="5127" width="21.28515625" style="462" customWidth="1"/>
    <col min="5128" max="5128" width="9.140625" style="462"/>
    <col min="5129" max="5129" width="26.28515625" style="462" customWidth="1"/>
    <col min="5130" max="5130" width="16.5703125" style="462" customWidth="1"/>
    <col min="5131" max="5131" width="9.140625" style="462"/>
    <col min="5132" max="5132" width="13.85546875" style="462" customWidth="1"/>
    <col min="5133" max="5376" width="9.140625" style="462"/>
    <col min="5377" max="5377" width="7.42578125" style="462" customWidth="1"/>
    <col min="5378" max="5378" width="77.42578125" style="462" customWidth="1"/>
    <col min="5379" max="5379" width="10.5703125" style="462" customWidth="1"/>
    <col min="5380" max="5380" width="5.140625" style="462" customWidth="1"/>
    <col min="5381" max="5381" width="13" style="462" customWidth="1"/>
    <col min="5382" max="5382" width="15.28515625" style="462" customWidth="1"/>
    <col min="5383" max="5383" width="21.28515625" style="462" customWidth="1"/>
    <col min="5384" max="5384" width="9.140625" style="462"/>
    <col min="5385" max="5385" width="26.28515625" style="462" customWidth="1"/>
    <col min="5386" max="5386" width="16.5703125" style="462" customWidth="1"/>
    <col min="5387" max="5387" width="9.140625" style="462"/>
    <col min="5388" max="5388" width="13.85546875" style="462" customWidth="1"/>
    <col min="5389" max="5632" width="9.140625" style="462"/>
    <col min="5633" max="5633" width="7.42578125" style="462" customWidth="1"/>
    <col min="5634" max="5634" width="77.42578125" style="462" customWidth="1"/>
    <col min="5635" max="5635" width="10.5703125" style="462" customWidth="1"/>
    <col min="5636" max="5636" width="5.140625" style="462" customWidth="1"/>
    <col min="5637" max="5637" width="13" style="462" customWidth="1"/>
    <col min="5638" max="5638" width="15.28515625" style="462" customWidth="1"/>
    <col min="5639" max="5639" width="21.28515625" style="462" customWidth="1"/>
    <col min="5640" max="5640" width="9.140625" style="462"/>
    <col min="5641" max="5641" width="26.28515625" style="462" customWidth="1"/>
    <col min="5642" max="5642" width="16.5703125" style="462" customWidth="1"/>
    <col min="5643" max="5643" width="9.140625" style="462"/>
    <col min="5644" max="5644" width="13.85546875" style="462" customWidth="1"/>
    <col min="5645" max="5888" width="9.140625" style="462"/>
    <col min="5889" max="5889" width="7.42578125" style="462" customWidth="1"/>
    <col min="5890" max="5890" width="77.42578125" style="462" customWidth="1"/>
    <col min="5891" max="5891" width="10.5703125" style="462" customWidth="1"/>
    <col min="5892" max="5892" width="5.140625" style="462" customWidth="1"/>
    <col min="5893" max="5893" width="13" style="462" customWidth="1"/>
    <col min="5894" max="5894" width="15.28515625" style="462" customWidth="1"/>
    <col min="5895" max="5895" width="21.28515625" style="462" customWidth="1"/>
    <col min="5896" max="5896" width="9.140625" style="462"/>
    <col min="5897" max="5897" width="26.28515625" style="462" customWidth="1"/>
    <col min="5898" max="5898" width="16.5703125" style="462" customWidth="1"/>
    <col min="5899" max="5899" width="9.140625" style="462"/>
    <col min="5900" max="5900" width="13.85546875" style="462" customWidth="1"/>
    <col min="5901" max="6144" width="9.140625" style="462"/>
    <col min="6145" max="6145" width="7.42578125" style="462" customWidth="1"/>
    <col min="6146" max="6146" width="77.42578125" style="462" customWidth="1"/>
    <col min="6147" max="6147" width="10.5703125" style="462" customWidth="1"/>
    <col min="6148" max="6148" width="5.140625" style="462" customWidth="1"/>
    <col min="6149" max="6149" width="13" style="462" customWidth="1"/>
    <col min="6150" max="6150" width="15.28515625" style="462" customWidth="1"/>
    <col min="6151" max="6151" width="21.28515625" style="462" customWidth="1"/>
    <col min="6152" max="6152" width="9.140625" style="462"/>
    <col min="6153" max="6153" width="26.28515625" style="462" customWidth="1"/>
    <col min="6154" max="6154" width="16.5703125" style="462" customWidth="1"/>
    <col min="6155" max="6155" width="9.140625" style="462"/>
    <col min="6156" max="6156" width="13.85546875" style="462" customWidth="1"/>
    <col min="6157" max="6400" width="9.140625" style="462"/>
    <col min="6401" max="6401" width="7.42578125" style="462" customWidth="1"/>
    <col min="6402" max="6402" width="77.42578125" style="462" customWidth="1"/>
    <col min="6403" max="6403" width="10.5703125" style="462" customWidth="1"/>
    <col min="6404" max="6404" width="5.140625" style="462" customWidth="1"/>
    <col min="6405" max="6405" width="13" style="462" customWidth="1"/>
    <col min="6406" max="6406" width="15.28515625" style="462" customWidth="1"/>
    <col min="6407" max="6407" width="21.28515625" style="462" customWidth="1"/>
    <col min="6408" max="6408" width="9.140625" style="462"/>
    <col min="6409" max="6409" width="26.28515625" style="462" customWidth="1"/>
    <col min="6410" max="6410" width="16.5703125" style="462" customWidth="1"/>
    <col min="6411" max="6411" width="9.140625" style="462"/>
    <col min="6412" max="6412" width="13.85546875" style="462" customWidth="1"/>
    <col min="6413" max="6656" width="9.140625" style="462"/>
    <col min="6657" max="6657" width="7.42578125" style="462" customWidth="1"/>
    <col min="6658" max="6658" width="77.42578125" style="462" customWidth="1"/>
    <col min="6659" max="6659" width="10.5703125" style="462" customWidth="1"/>
    <col min="6660" max="6660" width="5.140625" style="462" customWidth="1"/>
    <col min="6661" max="6661" width="13" style="462" customWidth="1"/>
    <col min="6662" max="6662" width="15.28515625" style="462" customWidth="1"/>
    <col min="6663" max="6663" width="21.28515625" style="462" customWidth="1"/>
    <col min="6664" max="6664" width="9.140625" style="462"/>
    <col min="6665" max="6665" width="26.28515625" style="462" customWidth="1"/>
    <col min="6666" max="6666" width="16.5703125" style="462" customWidth="1"/>
    <col min="6667" max="6667" width="9.140625" style="462"/>
    <col min="6668" max="6668" width="13.85546875" style="462" customWidth="1"/>
    <col min="6669" max="6912" width="9.140625" style="462"/>
    <col min="6913" max="6913" width="7.42578125" style="462" customWidth="1"/>
    <col min="6914" max="6914" width="77.42578125" style="462" customWidth="1"/>
    <col min="6915" max="6915" width="10.5703125" style="462" customWidth="1"/>
    <col min="6916" max="6916" width="5.140625" style="462" customWidth="1"/>
    <col min="6917" max="6917" width="13" style="462" customWidth="1"/>
    <col min="6918" max="6918" width="15.28515625" style="462" customWidth="1"/>
    <col min="6919" max="6919" width="21.28515625" style="462" customWidth="1"/>
    <col min="6920" max="6920" width="9.140625" style="462"/>
    <col min="6921" max="6921" width="26.28515625" style="462" customWidth="1"/>
    <col min="6922" max="6922" width="16.5703125" style="462" customWidth="1"/>
    <col min="6923" max="6923" width="9.140625" style="462"/>
    <col min="6924" max="6924" width="13.85546875" style="462" customWidth="1"/>
    <col min="6925" max="7168" width="9.140625" style="462"/>
    <col min="7169" max="7169" width="7.42578125" style="462" customWidth="1"/>
    <col min="7170" max="7170" width="77.42578125" style="462" customWidth="1"/>
    <col min="7171" max="7171" width="10.5703125" style="462" customWidth="1"/>
    <col min="7172" max="7172" width="5.140625" style="462" customWidth="1"/>
    <col min="7173" max="7173" width="13" style="462" customWidth="1"/>
    <col min="7174" max="7174" width="15.28515625" style="462" customWidth="1"/>
    <col min="7175" max="7175" width="21.28515625" style="462" customWidth="1"/>
    <col min="7176" max="7176" width="9.140625" style="462"/>
    <col min="7177" max="7177" width="26.28515625" style="462" customWidth="1"/>
    <col min="7178" max="7178" width="16.5703125" style="462" customWidth="1"/>
    <col min="7179" max="7179" width="9.140625" style="462"/>
    <col min="7180" max="7180" width="13.85546875" style="462" customWidth="1"/>
    <col min="7181" max="7424" width="9.140625" style="462"/>
    <col min="7425" max="7425" width="7.42578125" style="462" customWidth="1"/>
    <col min="7426" max="7426" width="77.42578125" style="462" customWidth="1"/>
    <col min="7427" max="7427" width="10.5703125" style="462" customWidth="1"/>
    <col min="7428" max="7428" width="5.140625" style="462" customWidth="1"/>
    <col min="7429" max="7429" width="13" style="462" customWidth="1"/>
    <col min="7430" max="7430" width="15.28515625" style="462" customWidth="1"/>
    <col min="7431" max="7431" width="21.28515625" style="462" customWidth="1"/>
    <col min="7432" max="7432" width="9.140625" style="462"/>
    <col min="7433" max="7433" width="26.28515625" style="462" customWidth="1"/>
    <col min="7434" max="7434" width="16.5703125" style="462" customWidth="1"/>
    <col min="7435" max="7435" width="9.140625" style="462"/>
    <col min="7436" max="7436" width="13.85546875" style="462" customWidth="1"/>
    <col min="7437" max="7680" width="9.140625" style="462"/>
    <col min="7681" max="7681" width="7.42578125" style="462" customWidth="1"/>
    <col min="7682" max="7682" width="77.42578125" style="462" customWidth="1"/>
    <col min="7683" max="7683" width="10.5703125" style="462" customWidth="1"/>
    <col min="7684" max="7684" width="5.140625" style="462" customWidth="1"/>
    <col min="7685" max="7685" width="13" style="462" customWidth="1"/>
    <col min="7686" max="7686" width="15.28515625" style="462" customWidth="1"/>
    <col min="7687" max="7687" width="21.28515625" style="462" customWidth="1"/>
    <col min="7688" max="7688" width="9.140625" style="462"/>
    <col min="7689" max="7689" width="26.28515625" style="462" customWidth="1"/>
    <col min="7690" max="7690" width="16.5703125" style="462" customWidth="1"/>
    <col min="7691" max="7691" width="9.140625" style="462"/>
    <col min="7692" max="7692" width="13.85546875" style="462" customWidth="1"/>
    <col min="7693" max="7936" width="9.140625" style="462"/>
    <col min="7937" max="7937" width="7.42578125" style="462" customWidth="1"/>
    <col min="7938" max="7938" width="77.42578125" style="462" customWidth="1"/>
    <col min="7939" max="7939" width="10.5703125" style="462" customWidth="1"/>
    <col min="7940" max="7940" width="5.140625" style="462" customWidth="1"/>
    <col min="7941" max="7941" width="13" style="462" customWidth="1"/>
    <col min="7942" max="7942" width="15.28515625" style="462" customWidth="1"/>
    <col min="7943" max="7943" width="21.28515625" style="462" customWidth="1"/>
    <col min="7944" max="7944" width="9.140625" style="462"/>
    <col min="7945" max="7945" width="26.28515625" style="462" customWidth="1"/>
    <col min="7946" max="7946" width="16.5703125" style="462" customWidth="1"/>
    <col min="7947" max="7947" width="9.140625" style="462"/>
    <col min="7948" max="7948" width="13.85546875" style="462" customWidth="1"/>
    <col min="7949" max="8192" width="9.140625" style="462"/>
    <col min="8193" max="8193" width="7.42578125" style="462" customWidth="1"/>
    <col min="8194" max="8194" width="77.42578125" style="462" customWidth="1"/>
    <col min="8195" max="8195" width="10.5703125" style="462" customWidth="1"/>
    <col min="8196" max="8196" width="5.140625" style="462" customWidth="1"/>
    <col min="8197" max="8197" width="13" style="462" customWidth="1"/>
    <col min="8198" max="8198" width="15.28515625" style="462" customWidth="1"/>
    <col min="8199" max="8199" width="21.28515625" style="462" customWidth="1"/>
    <col min="8200" max="8200" width="9.140625" style="462"/>
    <col min="8201" max="8201" width="26.28515625" style="462" customWidth="1"/>
    <col min="8202" max="8202" width="16.5703125" style="462" customWidth="1"/>
    <col min="8203" max="8203" width="9.140625" style="462"/>
    <col min="8204" max="8204" width="13.85546875" style="462" customWidth="1"/>
    <col min="8205" max="8448" width="9.140625" style="462"/>
    <col min="8449" max="8449" width="7.42578125" style="462" customWidth="1"/>
    <col min="8450" max="8450" width="77.42578125" style="462" customWidth="1"/>
    <col min="8451" max="8451" width="10.5703125" style="462" customWidth="1"/>
    <col min="8452" max="8452" width="5.140625" style="462" customWidth="1"/>
    <col min="8453" max="8453" width="13" style="462" customWidth="1"/>
    <col min="8454" max="8454" width="15.28515625" style="462" customWidth="1"/>
    <col min="8455" max="8455" width="21.28515625" style="462" customWidth="1"/>
    <col min="8456" max="8456" width="9.140625" style="462"/>
    <col min="8457" max="8457" width="26.28515625" style="462" customWidth="1"/>
    <col min="8458" max="8458" width="16.5703125" style="462" customWidth="1"/>
    <col min="8459" max="8459" width="9.140625" style="462"/>
    <col min="8460" max="8460" width="13.85546875" style="462" customWidth="1"/>
    <col min="8461" max="8704" width="9.140625" style="462"/>
    <col min="8705" max="8705" width="7.42578125" style="462" customWidth="1"/>
    <col min="8706" max="8706" width="77.42578125" style="462" customWidth="1"/>
    <col min="8707" max="8707" width="10.5703125" style="462" customWidth="1"/>
    <col min="8708" max="8708" width="5.140625" style="462" customWidth="1"/>
    <col min="8709" max="8709" width="13" style="462" customWidth="1"/>
    <col min="8710" max="8710" width="15.28515625" style="462" customWidth="1"/>
    <col min="8711" max="8711" width="21.28515625" style="462" customWidth="1"/>
    <col min="8712" max="8712" width="9.140625" style="462"/>
    <col min="8713" max="8713" width="26.28515625" style="462" customWidth="1"/>
    <col min="8714" max="8714" width="16.5703125" style="462" customWidth="1"/>
    <col min="8715" max="8715" width="9.140625" style="462"/>
    <col min="8716" max="8716" width="13.85546875" style="462" customWidth="1"/>
    <col min="8717" max="8960" width="9.140625" style="462"/>
    <col min="8961" max="8961" width="7.42578125" style="462" customWidth="1"/>
    <col min="8962" max="8962" width="77.42578125" style="462" customWidth="1"/>
    <col min="8963" max="8963" width="10.5703125" style="462" customWidth="1"/>
    <col min="8964" max="8964" width="5.140625" style="462" customWidth="1"/>
    <col min="8965" max="8965" width="13" style="462" customWidth="1"/>
    <col min="8966" max="8966" width="15.28515625" style="462" customWidth="1"/>
    <col min="8967" max="8967" width="21.28515625" style="462" customWidth="1"/>
    <col min="8968" max="8968" width="9.140625" style="462"/>
    <col min="8969" max="8969" width="26.28515625" style="462" customWidth="1"/>
    <col min="8970" max="8970" width="16.5703125" style="462" customWidth="1"/>
    <col min="8971" max="8971" width="9.140625" style="462"/>
    <col min="8972" max="8972" width="13.85546875" style="462" customWidth="1"/>
    <col min="8973" max="9216" width="9.140625" style="462"/>
    <col min="9217" max="9217" width="7.42578125" style="462" customWidth="1"/>
    <col min="9218" max="9218" width="77.42578125" style="462" customWidth="1"/>
    <col min="9219" max="9219" width="10.5703125" style="462" customWidth="1"/>
    <col min="9220" max="9220" width="5.140625" style="462" customWidth="1"/>
    <col min="9221" max="9221" width="13" style="462" customWidth="1"/>
    <col min="9222" max="9222" width="15.28515625" style="462" customWidth="1"/>
    <col min="9223" max="9223" width="21.28515625" style="462" customWidth="1"/>
    <col min="9224" max="9224" width="9.140625" style="462"/>
    <col min="9225" max="9225" width="26.28515625" style="462" customWidth="1"/>
    <col min="9226" max="9226" width="16.5703125" style="462" customWidth="1"/>
    <col min="9227" max="9227" width="9.140625" style="462"/>
    <col min="9228" max="9228" width="13.85546875" style="462" customWidth="1"/>
    <col min="9229" max="9472" width="9.140625" style="462"/>
    <col min="9473" max="9473" width="7.42578125" style="462" customWidth="1"/>
    <col min="9474" max="9474" width="77.42578125" style="462" customWidth="1"/>
    <col min="9475" max="9475" width="10.5703125" style="462" customWidth="1"/>
    <col min="9476" max="9476" width="5.140625" style="462" customWidth="1"/>
    <col min="9477" max="9477" width="13" style="462" customWidth="1"/>
    <col min="9478" max="9478" width="15.28515625" style="462" customWidth="1"/>
    <col min="9479" max="9479" width="21.28515625" style="462" customWidth="1"/>
    <col min="9480" max="9480" width="9.140625" style="462"/>
    <col min="9481" max="9481" width="26.28515625" style="462" customWidth="1"/>
    <col min="9482" max="9482" width="16.5703125" style="462" customWidth="1"/>
    <col min="9483" max="9483" width="9.140625" style="462"/>
    <col min="9484" max="9484" width="13.85546875" style="462" customWidth="1"/>
    <col min="9485" max="9728" width="9.140625" style="462"/>
    <col min="9729" max="9729" width="7.42578125" style="462" customWidth="1"/>
    <col min="9730" max="9730" width="77.42578125" style="462" customWidth="1"/>
    <col min="9731" max="9731" width="10.5703125" style="462" customWidth="1"/>
    <col min="9732" max="9732" width="5.140625" style="462" customWidth="1"/>
    <col min="9733" max="9733" width="13" style="462" customWidth="1"/>
    <col min="9734" max="9734" width="15.28515625" style="462" customWidth="1"/>
    <col min="9735" max="9735" width="21.28515625" style="462" customWidth="1"/>
    <col min="9736" max="9736" width="9.140625" style="462"/>
    <col min="9737" max="9737" width="26.28515625" style="462" customWidth="1"/>
    <col min="9738" max="9738" width="16.5703125" style="462" customWidth="1"/>
    <col min="9739" max="9739" width="9.140625" style="462"/>
    <col min="9740" max="9740" width="13.85546875" style="462" customWidth="1"/>
    <col min="9741" max="9984" width="9.140625" style="462"/>
    <col min="9985" max="9985" width="7.42578125" style="462" customWidth="1"/>
    <col min="9986" max="9986" width="77.42578125" style="462" customWidth="1"/>
    <col min="9987" max="9987" width="10.5703125" style="462" customWidth="1"/>
    <col min="9988" max="9988" width="5.140625" style="462" customWidth="1"/>
    <col min="9989" max="9989" width="13" style="462" customWidth="1"/>
    <col min="9990" max="9990" width="15.28515625" style="462" customWidth="1"/>
    <col min="9991" max="9991" width="21.28515625" style="462" customWidth="1"/>
    <col min="9992" max="9992" width="9.140625" style="462"/>
    <col min="9993" max="9993" width="26.28515625" style="462" customWidth="1"/>
    <col min="9994" max="9994" width="16.5703125" style="462" customWidth="1"/>
    <col min="9995" max="9995" width="9.140625" style="462"/>
    <col min="9996" max="9996" width="13.85546875" style="462" customWidth="1"/>
    <col min="9997" max="10240" width="9.140625" style="462"/>
    <col min="10241" max="10241" width="7.42578125" style="462" customWidth="1"/>
    <col min="10242" max="10242" width="77.42578125" style="462" customWidth="1"/>
    <col min="10243" max="10243" width="10.5703125" style="462" customWidth="1"/>
    <col min="10244" max="10244" width="5.140625" style="462" customWidth="1"/>
    <col min="10245" max="10245" width="13" style="462" customWidth="1"/>
    <col min="10246" max="10246" width="15.28515625" style="462" customWidth="1"/>
    <col min="10247" max="10247" width="21.28515625" style="462" customWidth="1"/>
    <col min="10248" max="10248" width="9.140625" style="462"/>
    <col min="10249" max="10249" width="26.28515625" style="462" customWidth="1"/>
    <col min="10250" max="10250" width="16.5703125" style="462" customWidth="1"/>
    <col min="10251" max="10251" width="9.140625" style="462"/>
    <col min="10252" max="10252" width="13.85546875" style="462" customWidth="1"/>
    <col min="10253" max="10496" width="9.140625" style="462"/>
    <col min="10497" max="10497" width="7.42578125" style="462" customWidth="1"/>
    <col min="10498" max="10498" width="77.42578125" style="462" customWidth="1"/>
    <col min="10499" max="10499" width="10.5703125" style="462" customWidth="1"/>
    <col min="10500" max="10500" width="5.140625" style="462" customWidth="1"/>
    <col min="10501" max="10501" width="13" style="462" customWidth="1"/>
    <col min="10502" max="10502" width="15.28515625" style="462" customWidth="1"/>
    <col min="10503" max="10503" width="21.28515625" style="462" customWidth="1"/>
    <col min="10504" max="10504" width="9.140625" style="462"/>
    <col min="10505" max="10505" width="26.28515625" style="462" customWidth="1"/>
    <col min="10506" max="10506" width="16.5703125" style="462" customWidth="1"/>
    <col min="10507" max="10507" width="9.140625" style="462"/>
    <col min="10508" max="10508" width="13.85546875" style="462" customWidth="1"/>
    <col min="10509" max="10752" width="9.140625" style="462"/>
    <col min="10753" max="10753" width="7.42578125" style="462" customWidth="1"/>
    <col min="10754" max="10754" width="77.42578125" style="462" customWidth="1"/>
    <col min="10755" max="10755" width="10.5703125" style="462" customWidth="1"/>
    <col min="10756" max="10756" width="5.140625" style="462" customWidth="1"/>
    <col min="10757" max="10757" width="13" style="462" customWidth="1"/>
    <col min="10758" max="10758" width="15.28515625" style="462" customWidth="1"/>
    <col min="10759" max="10759" width="21.28515625" style="462" customWidth="1"/>
    <col min="10760" max="10760" width="9.140625" style="462"/>
    <col min="10761" max="10761" width="26.28515625" style="462" customWidth="1"/>
    <col min="10762" max="10762" width="16.5703125" style="462" customWidth="1"/>
    <col min="10763" max="10763" width="9.140625" style="462"/>
    <col min="10764" max="10764" width="13.85546875" style="462" customWidth="1"/>
    <col min="10765" max="11008" width="9.140625" style="462"/>
    <col min="11009" max="11009" width="7.42578125" style="462" customWidth="1"/>
    <col min="11010" max="11010" width="77.42578125" style="462" customWidth="1"/>
    <col min="11011" max="11011" width="10.5703125" style="462" customWidth="1"/>
    <col min="11012" max="11012" width="5.140625" style="462" customWidth="1"/>
    <col min="11013" max="11013" width="13" style="462" customWidth="1"/>
    <col min="11014" max="11014" width="15.28515625" style="462" customWidth="1"/>
    <col min="11015" max="11015" width="21.28515625" style="462" customWidth="1"/>
    <col min="11016" max="11016" width="9.140625" style="462"/>
    <col min="11017" max="11017" width="26.28515625" style="462" customWidth="1"/>
    <col min="11018" max="11018" width="16.5703125" style="462" customWidth="1"/>
    <col min="11019" max="11019" width="9.140625" style="462"/>
    <col min="11020" max="11020" width="13.85546875" style="462" customWidth="1"/>
    <col min="11021" max="11264" width="9.140625" style="462"/>
    <col min="11265" max="11265" width="7.42578125" style="462" customWidth="1"/>
    <col min="11266" max="11266" width="77.42578125" style="462" customWidth="1"/>
    <col min="11267" max="11267" width="10.5703125" style="462" customWidth="1"/>
    <col min="11268" max="11268" width="5.140625" style="462" customWidth="1"/>
    <col min="11269" max="11269" width="13" style="462" customWidth="1"/>
    <col min="11270" max="11270" width="15.28515625" style="462" customWidth="1"/>
    <col min="11271" max="11271" width="21.28515625" style="462" customWidth="1"/>
    <col min="11272" max="11272" width="9.140625" style="462"/>
    <col min="11273" max="11273" width="26.28515625" style="462" customWidth="1"/>
    <col min="11274" max="11274" width="16.5703125" style="462" customWidth="1"/>
    <col min="11275" max="11275" width="9.140625" style="462"/>
    <col min="11276" max="11276" width="13.85546875" style="462" customWidth="1"/>
    <col min="11277" max="11520" width="9.140625" style="462"/>
    <col min="11521" max="11521" width="7.42578125" style="462" customWidth="1"/>
    <col min="11522" max="11522" width="77.42578125" style="462" customWidth="1"/>
    <col min="11523" max="11523" width="10.5703125" style="462" customWidth="1"/>
    <col min="11524" max="11524" width="5.140625" style="462" customWidth="1"/>
    <col min="11525" max="11525" width="13" style="462" customWidth="1"/>
    <col min="11526" max="11526" width="15.28515625" style="462" customWidth="1"/>
    <col min="11527" max="11527" width="21.28515625" style="462" customWidth="1"/>
    <col min="11528" max="11528" width="9.140625" style="462"/>
    <col min="11529" max="11529" width="26.28515625" style="462" customWidth="1"/>
    <col min="11530" max="11530" width="16.5703125" style="462" customWidth="1"/>
    <col min="11531" max="11531" width="9.140625" style="462"/>
    <col min="11532" max="11532" width="13.85546875" style="462" customWidth="1"/>
    <col min="11533" max="11776" width="9.140625" style="462"/>
    <col min="11777" max="11777" width="7.42578125" style="462" customWidth="1"/>
    <col min="11778" max="11778" width="77.42578125" style="462" customWidth="1"/>
    <col min="11779" max="11779" width="10.5703125" style="462" customWidth="1"/>
    <col min="11780" max="11780" width="5.140625" style="462" customWidth="1"/>
    <col min="11781" max="11781" width="13" style="462" customWidth="1"/>
    <col min="11782" max="11782" width="15.28515625" style="462" customWidth="1"/>
    <col min="11783" max="11783" width="21.28515625" style="462" customWidth="1"/>
    <col min="11784" max="11784" width="9.140625" style="462"/>
    <col min="11785" max="11785" width="26.28515625" style="462" customWidth="1"/>
    <col min="11786" max="11786" width="16.5703125" style="462" customWidth="1"/>
    <col min="11787" max="11787" width="9.140625" style="462"/>
    <col min="11788" max="11788" width="13.85546875" style="462" customWidth="1"/>
    <col min="11789" max="12032" width="9.140625" style="462"/>
    <col min="12033" max="12033" width="7.42578125" style="462" customWidth="1"/>
    <col min="12034" max="12034" width="77.42578125" style="462" customWidth="1"/>
    <col min="12035" max="12035" width="10.5703125" style="462" customWidth="1"/>
    <col min="12036" max="12036" width="5.140625" style="462" customWidth="1"/>
    <col min="12037" max="12037" width="13" style="462" customWidth="1"/>
    <col min="12038" max="12038" width="15.28515625" style="462" customWidth="1"/>
    <col min="12039" max="12039" width="21.28515625" style="462" customWidth="1"/>
    <col min="12040" max="12040" width="9.140625" style="462"/>
    <col min="12041" max="12041" width="26.28515625" style="462" customWidth="1"/>
    <col min="12042" max="12042" width="16.5703125" style="462" customWidth="1"/>
    <col min="12043" max="12043" width="9.140625" style="462"/>
    <col min="12044" max="12044" width="13.85546875" style="462" customWidth="1"/>
    <col min="12045" max="12288" width="9.140625" style="462"/>
    <col min="12289" max="12289" width="7.42578125" style="462" customWidth="1"/>
    <col min="12290" max="12290" width="77.42578125" style="462" customWidth="1"/>
    <col min="12291" max="12291" width="10.5703125" style="462" customWidth="1"/>
    <col min="12292" max="12292" width="5.140625" style="462" customWidth="1"/>
    <col min="12293" max="12293" width="13" style="462" customWidth="1"/>
    <col min="12294" max="12294" width="15.28515625" style="462" customWidth="1"/>
    <col min="12295" max="12295" width="21.28515625" style="462" customWidth="1"/>
    <col min="12296" max="12296" width="9.140625" style="462"/>
    <col min="12297" max="12297" width="26.28515625" style="462" customWidth="1"/>
    <col min="12298" max="12298" width="16.5703125" style="462" customWidth="1"/>
    <col min="12299" max="12299" width="9.140625" style="462"/>
    <col min="12300" max="12300" width="13.85546875" style="462" customWidth="1"/>
    <col min="12301" max="12544" width="9.140625" style="462"/>
    <col min="12545" max="12545" width="7.42578125" style="462" customWidth="1"/>
    <col min="12546" max="12546" width="77.42578125" style="462" customWidth="1"/>
    <col min="12547" max="12547" width="10.5703125" style="462" customWidth="1"/>
    <col min="12548" max="12548" width="5.140625" style="462" customWidth="1"/>
    <col min="12549" max="12549" width="13" style="462" customWidth="1"/>
    <col min="12550" max="12550" width="15.28515625" style="462" customWidth="1"/>
    <col min="12551" max="12551" width="21.28515625" style="462" customWidth="1"/>
    <col min="12552" max="12552" width="9.140625" style="462"/>
    <col min="12553" max="12553" width="26.28515625" style="462" customWidth="1"/>
    <col min="12554" max="12554" width="16.5703125" style="462" customWidth="1"/>
    <col min="12555" max="12555" width="9.140625" style="462"/>
    <col min="12556" max="12556" width="13.85546875" style="462" customWidth="1"/>
    <col min="12557" max="12800" width="9.140625" style="462"/>
    <col min="12801" max="12801" width="7.42578125" style="462" customWidth="1"/>
    <col min="12802" max="12802" width="77.42578125" style="462" customWidth="1"/>
    <col min="12803" max="12803" width="10.5703125" style="462" customWidth="1"/>
    <col min="12804" max="12804" width="5.140625" style="462" customWidth="1"/>
    <col min="12805" max="12805" width="13" style="462" customWidth="1"/>
    <col min="12806" max="12806" width="15.28515625" style="462" customWidth="1"/>
    <col min="12807" max="12807" width="21.28515625" style="462" customWidth="1"/>
    <col min="12808" max="12808" width="9.140625" style="462"/>
    <col min="12809" max="12809" width="26.28515625" style="462" customWidth="1"/>
    <col min="12810" max="12810" width="16.5703125" style="462" customWidth="1"/>
    <col min="12811" max="12811" width="9.140625" style="462"/>
    <col min="12812" max="12812" width="13.85546875" style="462" customWidth="1"/>
    <col min="12813" max="13056" width="9.140625" style="462"/>
    <col min="13057" max="13057" width="7.42578125" style="462" customWidth="1"/>
    <col min="13058" max="13058" width="77.42578125" style="462" customWidth="1"/>
    <col min="13059" max="13059" width="10.5703125" style="462" customWidth="1"/>
    <col min="13060" max="13060" width="5.140625" style="462" customWidth="1"/>
    <col min="13061" max="13061" width="13" style="462" customWidth="1"/>
    <col min="13062" max="13062" width="15.28515625" style="462" customWidth="1"/>
    <col min="13063" max="13063" width="21.28515625" style="462" customWidth="1"/>
    <col min="13064" max="13064" width="9.140625" style="462"/>
    <col min="13065" max="13065" width="26.28515625" style="462" customWidth="1"/>
    <col min="13066" max="13066" width="16.5703125" style="462" customWidth="1"/>
    <col min="13067" max="13067" width="9.140625" style="462"/>
    <col min="13068" max="13068" width="13.85546875" style="462" customWidth="1"/>
    <col min="13069" max="13312" width="9.140625" style="462"/>
    <col min="13313" max="13313" width="7.42578125" style="462" customWidth="1"/>
    <col min="13314" max="13314" width="77.42578125" style="462" customWidth="1"/>
    <col min="13315" max="13315" width="10.5703125" style="462" customWidth="1"/>
    <col min="13316" max="13316" width="5.140625" style="462" customWidth="1"/>
    <col min="13317" max="13317" width="13" style="462" customWidth="1"/>
    <col min="13318" max="13318" width="15.28515625" style="462" customWidth="1"/>
    <col min="13319" max="13319" width="21.28515625" style="462" customWidth="1"/>
    <col min="13320" max="13320" width="9.140625" style="462"/>
    <col min="13321" max="13321" width="26.28515625" style="462" customWidth="1"/>
    <col min="13322" max="13322" width="16.5703125" style="462" customWidth="1"/>
    <col min="13323" max="13323" width="9.140625" style="462"/>
    <col min="13324" max="13324" width="13.85546875" style="462" customWidth="1"/>
    <col min="13325" max="13568" width="9.140625" style="462"/>
    <col min="13569" max="13569" width="7.42578125" style="462" customWidth="1"/>
    <col min="13570" max="13570" width="77.42578125" style="462" customWidth="1"/>
    <col min="13571" max="13571" width="10.5703125" style="462" customWidth="1"/>
    <col min="13572" max="13572" width="5.140625" style="462" customWidth="1"/>
    <col min="13573" max="13573" width="13" style="462" customWidth="1"/>
    <col min="13574" max="13574" width="15.28515625" style="462" customWidth="1"/>
    <col min="13575" max="13575" width="21.28515625" style="462" customWidth="1"/>
    <col min="13576" max="13576" width="9.140625" style="462"/>
    <col min="13577" max="13577" width="26.28515625" style="462" customWidth="1"/>
    <col min="13578" max="13578" width="16.5703125" style="462" customWidth="1"/>
    <col min="13579" max="13579" width="9.140625" style="462"/>
    <col min="13580" max="13580" width="13.85546875" style="462" customWidth="1"/>
    <col min="13581" max="13824" width="9.140625" style="462"/>
    <col min="13825" max="13825" width="7.42578125" style="462" customWidth="1"/>
    <col min="13826" max="13826" width="77.42578125" style="462" customWidth="1"/>
    <col min="13827" max="13827" width="10.5703125" style="462" customWidth="1"/>
    <col min="13828" max="13828" width="5.140625" style="462" customWidth="1"/>
    <col min="13829" max="13829" width="13" style="462" customWidth="1"/>
    <col min="13830" max="13830" width="15.28515625" style="462" customWidth="1"/>
    <col min="13831" max="13831" width="21.28515625" style="462" customWidth="1"/>
    <col min="13832" max="13832" width="9.140625" style="462"/>
    <col min="13833" max="13833" width="26.28515625" style="462" customWidth="1"/>
    <col min="13834" max="13834" width="16.5703125" style="462" customWidth="1"/>
    <col min="13835" max="13835" width="9.140625" style="462"/>
    <col min="13836" max="13836" width="13.85546875" style="462" customWidth="1"/>
    <col min="13837" max="14080" width="9.140625" style="462"/>
    <col min="14081" max="14081" width="7.42578125" style="462" customWidth="1"/>
    <col min="14082" max="14082" width="77.42578125" style="462" customWidth="1"/>
    <col min="14083" max="14083" width="10.5703125" style="462" customWidth="1"/>
    <col min="14084" max="14084" width="5.140625" style="462" customWidth="1"/>
    <col min="14085" max="14085" width="13" style="462" customWidth="1"/>
    <col min="14086" max="14086" width="15.28515625" style="462" customWidth="1"/>
    <col min="14087" max="14087" width="21.28515625" style="462" customWidth="1"/>
    <col min="14088" max="14088" width="9.140625" style="462"/>
    <col min="14089" max="14089" width="26.28515625" style="462" customWidth="1"/>
    <col min="14090" max="14090" width="16.5703125" style="462" customWidth="1"/>
    <col min="14091" max="14091" width="9.140625" style="462"/>
    <col min="14092" max="14092" width="13.85546875" style="462" customWidth="1"/>
    <col min="14093" max="14336" width="9.140625" style="462"/>
    <col min="14337" max="14337" width="7.42578125" style="462" customWidth="1"/>
    <col min="14338" max="14338" width="77.42578125" style="462" customWidth="1"/>
    <col min="14339" max="14339" width="10.5703125" style="462" customWidth="1"/>
    <col min="14340" max="14340" width="5.140625" style="462" customWidth="1"/>
    <col min="14341" max="14341" width="13" style="462" customWidth="1"/>
    <col min="14342" max="14342" width="15.28515625" style="462" customWidth="1"/>
    <col min="14343" max="14343" width="21.28515625" style="462" customWidth="1"/>
    <col min="14344" max="14344" width="9.140625" style="462"/>
    <col min="14345" max="14345" width="26.28515625" style="462" customWidth="1"/>
    <col min="14346" max="14346" width="16.5703125" style="462" customWidth="1"/>
    <col min="14347" max="14347" width="9.140625" style="462"/>
    <col min="14348" max="14348" width="13.85546875" style="462" customWidth="1"/>
    <col min="14349" max="14592" width="9.140625" style="462"/>
    <col min="14593" max="14593" width="7.42578125" style="462" customWidth="1"/>
    <col min="14594" max="14594" width="77.42578125" style="462" customWidth="1"/>
    <col min="14595" max="14595" width="10.5703125" style="462" customWidth="1"/>
    <col min="14596" max="14596" width="5.140625" style="462" customWidth="1"/>
    <col min="14597" max="14597" width="13" style="462" customWidth="1"/>
    <col min="14598" max="14598" width="15.28515625" style="462" customWidth="1"/>
    <col min="14599" max="14599" width="21.28515625" style="462" customWidth="1"/>
    <col min="14600" max="14600" width="9.140625" style="462"/>
    <col min="14601" max="14601" width="26.28515625" style="462" customWidth="1"/>
    <col min="14602" max="14602" width="16.5703125" style="462" customWidth="1"/>
    <col min="14603" max="14603" width="9.140625" style="462"/>
    <col min="14604" max="14604" width="13.85546875" style="462" customWidth="1"/>
    <col min="14605" max="14848" width="9.140625" style="462"/>
    <col min="14849" max="14849" width="7.42578125" style="462" customWidth="1"/>
    <col min="14850" max="14850" width="77.42578125" style="462" customWidth="1"/>
    <col min="14851" max="14851" width="10.5703125" style="462" customWidth="1"/>
    <col min="14852" max="14852" width="5.140625" style="462" customWidth="1"/>
    <col min="14853" max="14853" width="13" style="462" customWidth="1"/>
    <col min="14854" max="14854" width="15.28515625" style="462" customWidth="1"/>
    <col min="14855" max="14855" width="21.28515625" style="462" customWidth="1"/>
    <col min="14856" max="14856" width="9.140625" style="462"/>
    <col min="14857" max="14857" width="26.28515625" style="462" customWidth="1"/>
    <col min="14858" max="14858" width="16.5703125" style="462" customWidth="1"/>
    <col min="14859" max="14859" width="9.140625" style="462"/>
    <col min="14860" max="14860" width="13.85546875" style="462" customWidth="1"/>
    <col min="14861" max="15104" width="9.140625" style="462"/>
    <col min="15105" max="15105" width="7.42578125" style="462" customWidth="1"/>
    <col min="15106" max="15106" width="77.42578125" style="462" customWidth="1"/>
    <col min="15107" max="15107" width="10.5703125" style="462" customWidth="1"/>
    <col min="15108" max="15108" width="5.140625" style="462" customWidth="1"/>
    <col min="15109" max="15109" width="13" style="462" customWidth="1"/>
    <col min="15110" max="15110" width="15.28515625" style="462" customWidth="1"/>
    <col min="15111" max="15111" width="21.28515625" style="462" customWidth="1"/>
    <col min="15112" max="15112" width="9.140625" style="462"/>
    <col min="15113" max="15113" width="26.28515625" style="462" customWidth="1"/>
    <col min="15114" max="15114" width="16.5703125" style="462" customWidth="1"/>
    <col min="15115" max="15115" width="9.140625" style="462"/>
    <col min="15116" max="15116" width="13.85546875" style="462" customWidth="1"/>
    <col min="15117" max="15360" width="9.140625" style="462"/>
    <col min="15361" max="15361" width="7.42578125" style="462" customWidth="1"/>
    <col min="15362" max="15362" width="77.42578125" style="462" customWidth="1"/>
    <col min="15363" max="15363" width="10.5703125" style="462" customWidth="1"/>
    <col min="15364" max="15364" width="5.140625" style="462" customWidth="1"/>
    <col min="15365" max="15365" width="13" style="462" customWidth="1"/>
    <col min="15366" max="15366" width="15.28515625" style="462" customWidth="1"/>
    <col min="15367" max="15367" width="21.28515625" style="462" customWidth="1"/>
    <col min="15368" max="15368" width="9.140625" style="462"/>
    <col min="15369" max="15369" width="26.28515625" style="462" customWidth="1"/>
    <col min="15370" max="15370" width="16.5703125" style="462" customWidth="1"/>
    <col min="15371" max="15371" width="9.140625" style="462"/>
    <col min="15372" max="15372" width="13.85546875" style="462" customWidth="1"/>
    <col min="15373" max="15616" width="9.140625" style="462"/>
    <col min="15617" max="15617" width="7.42578125" style="462" customWidth="1"/>
    <col min="15618" max="15618" width="77.42578125" style="462" customWidth="1"/>
    <col min="15619" max="15619" width="10.5703125" style="462" customWidth="1"/>
    <col min="15620" max="15620" width="5.140625" style="462" customWidth="1"/>
    <col min="15621" max="15621" width="13" style="462" customWidth="1"/>
    <col min="15622" max="15622" width="15.28515625" style="462" customWidth="1"/>
    <col min="15623" max="15623" width="21.28515625" style="462" customWidth="1"/>
    <col min="15624" max="15624" width="9.140625" style="462"/>
    <col min="15625" max="15625" width="26.28515625" style="462" customWidth="1"/>
    <col min="15626" max="15626" width="16.5703125" style="462" customWidth="1"/>
    <col min="15627" max="15627" width="9.140625" style="462"/>
    <col min="15628" max="15628" width="13.85546875" style="462" customWidth="1"/>
    <col min="15629" max="15872" width="9.140625" style="462"/>
    <col min="15873" max="15873" width="7.42578125" style="462" customWidth="1"/>
    <col min="15874" max="15874" width="77.42578125" style="462" customWidth="1"/>
    <col min="15875" max="15875" width="10.5703125" style="462" customWidth="1"/>
    <col min="15876" max="15876" width="5.140625" style="462" customWidth="1"/>
    <col min="15877" max="15877" width="13" style="462" customWidth="1"/>
    <col min="15878" max="15878" width="15.28515625" style="462" customWidth="1"/>
    <col min="15879" max="15879" width="21.28515625" style="462" customWidth="1"/>
    <col min="15880" max="15880" width="9.140625" style="462"/>
    <col min="15881" max="15881" width="26.28515625" style="462" customWidth="1"/>
    <col min="15882" max="15882" width="16.5703125" style="462" customWidth="1"/>
    <col min="15883" max="15883" width="9.140625" style="462"/>
    <col min="15884" max="15884" width="13.85546875" style="462" customWidth="1"/>
    <col min="15885" max="16128" width="9.140625" style="462"/>
    <col min="16129" max="16129" width="7.42578125" style="462" customWidth="1"/>
    <col min="16130" max="16130" width="77.42578125" style="462" customWidth="1"/>
    <col min="16131" max="16131" width="10.5703125" style="462" customWidth="1"/>
    <col min="16132" max="16132" width="5.140625" style="462" customWidth="1"/>
    <col min="16133" max="16133" width="13" style="462" customWidth="1"/>
    <col min="16134" max="16134" width="15.28515625" style="462" customWidth="1"/>
    <col min="16135" max="16135" width="21.28515625" style="462" customWidth="1"/>
    <col min="16136" max="16136" width="9.140625" style="462"/>
    <col min="16137" max="16137" width="26.28515625" style="462" customWidth="1"/>
    <col min="16138" max="16138" width="16.5703125" style="462" customWidth="1"/>
    <col min="16139" max="16139" width="9.140625" style="462"/>
    <col min="16140" max="16140" width="13.85546875" style="462" customWidth="1"/>
    <col min="16141" max="16384" width="9.140625" style="462"/>
  </cols>
  <sheetData>
    <row r="1" spans="1:8" ht="22.5">
      <c r="A1" s="550"/>
      <c r="B1" s="550"/>
      <c r="C1" s="550"/>
      <c r="D1" s="550"/>
      <c r="E1" s="550"/>
      <c r="F1" s="550"/>
      <c r="G1" s="550"/>
      <c r="H1" s="461"/>
    </row>
    <row r="2" spans="1:8" ht="37.15" customHeight="1">
      <c r="A2" s="514"/>
      <c r="B2" s="551" t="s">
        <v>1184</v>
      </c>
      <c r="C2" s="551"/>
      <c r="D2" s="551"/>
      <c r="E2" s="551"/>
      <c r="F2" s="551"/>
      <c r="G2" s="551"/>
      <c r="H2" s="463"/>
    </row>
    <row r="3" spans="1:8" ht="22.5">
      <c r="A3" s="514"/>
      <c r="B3" s="478"/>
      <c r="C3" s="478"/>
      <c r="D3" s="478"/>
      <c r="E3" s="478"/>
      <c r="F3" s="478"/>
      <c r="G3" s="478"/>
      <c r="H3" s="464"/>
    </row>
    <row r="4" spans="1:8" ht="8.25" customHeight="1">
      <c r="A4" s="515"/>
      <c r="B4" s="479"/>
      <c r="C4" s="480"/>
      <c r="D4" s="481"/>
      <c r="E4" s="482"/>
      <c r="F4" s="482"/>
      <c r="G4" s="502"/>
      <c r="H4" s="461"/>
    </row>
    <row r="5" spans="1:8" ht="15.75" customHeight="1">
      <c r="A5" s="516"/>
      <c r="B5" s="483"/>
      <c r="C5" s="484"/>
      <c r="D5" s="485"/>
      <c r="E5" s="486"/>
      <c r="F5" s="486"/>
      <c r="G5" s="503"/>
    </row>
    <row r="6" spans="1:8" ht="8.25" customHeight="1">
      <c r="A6" s="517"/>
      <c r="B6" s="552"/>
      <c r="C6" s="552"/>
      <c r="D6" s="552"/>
      <c r="E6" s="549"/>
      <c r="F6" s="549"/>
      <c r="G6" s="549"/>
    </row>
    <row r="7" spans="1:8" ht="28.5" customHeight="1">
      <c r="A7" s="517"/>
      <c r="B7" s="487" t="s">
        <v>1156</v>
      </c>
      <c r="C7" s="487"/>
      <c r="D7" s="553"/>
      <c r="E7" s="553"/>
      <c r="F7" s="459"/>
      <c r="G7" s="459"/>
    </row>
    <row r="8" spans="1:8" ht="33" customHeight="1">
      <c r="A8" s="517"/>
      <c r="B8" s="487" t="s">
        <v>1183</v>
      </c>
      <c r="C8" s="487"/>
      <c r="D8" s="487"/>
      <c r="E8" s="604"/>
      <c r="F8" s="605"/>
      <c r="G8" s="605"/>
    </row>
    <row r="9" spans="1:8" ht="14.25" customHeight="1" thickBot="1">
      <c r="A9" s="518"/>
      <c r="B9" s="606"/>
      <c r="C9" s="606"/>
      <c r="D9" s="606"/>
      <c r="E9" s="606"/>
      <c r="F9" s="606"/>
      <c r="G9" s="607"/>
    </row>
    <row r="10" spans="1:8" ht="42.75" customHeight="1" thickTop="1" thickBot="1">
      <c r="A10" s="548" t="s">
        <v>1</v>
      </c>
      <c r="B10" s="608" t="s">
        <v>472</v>
      </c>
      <c r="C10" s="609" t="s">
        <v>473</v>
      </c>
      <c r="D10" s="546" t="s">
        <v>16</v>
      </c>
      <c r="E10" s="546" t="s">
        <v>504</v>
      </c>
      <c r="F10" s="546" t="s">
        <v>505</v>
      </c>
      <c r="G10" s="547" t="s">
        <v>506</v>
      </c>
    </row>
    <row r="11" spans="1:8" ht="20.45" customHeight="1">
      <c r="A11" s="519"/>
      <c r="B11" s="510"/>
      <c r="C11" s="610"/>
      <c r="D11" s="611"/>
      <c r="E11" s="612"/>
      <c r="F11" s="613"/>
      <c r="G11" s="614"/>
    </row>
    <row r="12" spans="1:8" ht="20.45" customHeight="1">
      <c r="A12" s="520"/>
      <c r="B12" s="511" t="s">
        <v>1133</v>
      </c>
      <c r="C12" s="615"/>
      <c r="D12" s="615"/>
      <c r="E12" s="616"/>
      <c r="F12" s="617"/>
      <c r="G12" s="618"/>
    </row>
    <row r="13" spans="1:8" ht="20.45" customHeight="1">
      <c r="A13" s="520"/>
      <c r="B13" s="511"/>
      <c r="C13" s="615"/>
      <c r="D13" s="615"/>
      <c r="E13" s="616"/>
      <c r="F13" s="617"/>
      <c r="G13" s="618"/>
    </row>
    <row r="14" spans="1:8" ht="20.45" customHeight="1">
      <c r="A14" s="520">
        <v>1</v>
      </c>
      <c r="B14" s="511" t="s">
        <v>646</v>
      </c>
      <c r="C14" s="615"/>
      <c r="D14" s="615"/>
      <c r="E14" s="615"/>
      <c r="F14" s="615"/>
      <c r="G14" s="618"/>
      <c r="H14" s="493"/>
    </row>
    <row r="15" spans="1:8" ht="33" customHeight="1">
      <c r="A15" s="505">
        <f>+A14+0.01</f>
        <v>1.01</v>
      </c>
      <c r="B15" s="465" t="s">
        <v>1175</v>
      </c>
      <c r="C15" s="615">
        <v>1</v>
      </c>
      <c r="D15" s="615" t="s">
        <v>2</v>
      </c>
      <c r="E15" s="619">
        <v>0</v>
      </c>
      <c r="F15" s="617">
        <f>+ROUND(C15*E15,2)</f>
        <v>0</v>
      </c>
      <c r="G15" s="620"/>
      <c r="H15" s="493"/>
    </row>
    <row r="16" spans="1:8" ht="20.25" customHeight="1">
      <c r="A16" s="504">
        <f t="shared" ref="A16:A17" si="0">+A15+0.01</f>
        <v>1.02</v>
      </c>
      <c r="B16" s="468" t="s">
        <v>1168</v>
      </c>
      <c r="C16" s="615">
        <v>1</v>
      </c>
      <c r="D16" s="615" t="s">
        <v>2</v>
      </c>
      <c r="E16" s="619">
        <v>0</v>
      </c>
      <c r="F16" s="617">
        <f t="shared" ref="F16:F17" si="1">+ROUND(C16*E16,2)</f>
        <v>0</v>
      </c>
      <c r="G16" s="620"/>
    </row>
    <row r="17" spans="1:9" ht="20.45" customHeight="1">
      <c r="A17" s="504">
        <f t="shared" si="0"/>
        <v>1.03</v>
      </c>
      <c r="B17" s="468" t="s">
        <v>1155</v>
      </c>
      <c r="C17" s="615">
        <v>1</v>
      </c>
      <c r="D17" s="615" t="s">
        <v>2</v>
      </c>
      <c r="E17" s="619">
        <v>0</v>
      </c>
      <c r="F17" s="617">
        <f t="shared" si="1"/>
        <v>0</v>
      </c>
      <c r="G17" s="620">
        <f>SUM(F15:F17)</f>
        <v>0</v>
      </c>
    </row>
    <row r="18" spans="1:9" ht="20.45" customHeight="1">
      <c r="A18" s="520">
        <f>A14+1</f>
        <v>2</v>
      </c>
      <c r="B18" s="511" t="s">
        <v>514</v>
      </c>
      <c r="C18" s="615"/>
      <c r="D18" s="615"/>
      <c r="E18" s="616"/>
      <c r="F18" s="617"/>
      <c r="G18" s="618"/>
    </row>
    <row r="19" spans="1:9" ht="20.45" customHeight="1">
      <c r="A19" s="504">
        <f>+A18+0.01</f>
        <v>2.0099999999999998</v>
      </c>
      <c r="B19" s="465" t="s">
        <v>1176</v>
      </c>
      <c r="C19" s="621">
        <v>100.78</v>
      </c>
      <c r="D19" s="615" t="s">
        <v>108</v>
      </c>
      <c r="E19" s="619">
        <v>0</v>
      </c>
      <c r="F19" s="617">
        <f>+ROUND(C19*E19,2)</f>
        <v>0</v>
      </c>
      <c r="G19" s="618"/>
      <c r="H19" s="493"/>
    </row>
    <row r="20" spans="1:9" ht="33.75" customHeight="1">
      <c r="A20" s="505">
        <f>+A19+0.01</f>
        <v>2.0199999999999996</v>
      </c>
      <c r="B20" s="465" t="s">
        <v>1203</v>
      </c>
      <c r="C20" s="621">
        <v>35</v>
      </c>
      <c r="D20" s="615" t="s">
        <v>1122</v>
      </c>
      <c r="E20" s="619">
        <v>0</v>
      </c>
      <c r="F20" s="617">
        <f>+ROUND(C20*E20,2)</f>
        <v>0</v>
      </c>
      <c r="G20" s="618"/>
      <c r="H20" s="493"/>
    </row>
    <row r="21" spans="1:9" ht="35.25" customHeight="1">
      <c r="A21" s="505">
        <f>+A20+0.01</f>
        <v>2.0299999999999994</v>
      </c>
      <c r="B21" s="465" t="s">
        <v>1185</v>
      </c>
      <c r="C21" s="621">
        <v>23.84</v>
      </c>
      <c r="D21" s="615" t="s">
        <v>1122</v>
      </c>
      <c r="E21" s="619">
        <v>0</v>
      </c>
      <c r="F21" s="617">
        <f t="shared" ref="F21:F22" si="2">+ROUND(C21*E21,2)</f>
        <v>0</v>
      </c>
      <c r="G21" s="618"/>
      <c r="H21" s="493"/>
    </row>
    <row r="22" spans="1:9" ht="20.45" customHeight="1">
      <c r="A22" s="504">
        <f>+A21+0.01</f>
        <v>2.0399999999999991</v>
      </c>
      <c r="B22" s="465" t="s">
        <v>1123</v>
      </c>
      <c r="C22" s="621">
        <v>131.01</v>
      </c>
      <c r="D22" s="615" t="s">
        <v>108</v>
      </c>
      <c r="E22" s="619">
        <v>0</v>
      </c>
      <c r="F22" s="617">
        <f t="shared" si="2"/>
        <v>0</v>
      </c>
      <c r="G22" s="620">
        <f>SUM(F19:F22)</f>
        <v>0</v>
      </c>
      <c r="H22" s="493"/>
    </row>
    <row r="23" spans="1:9" ht="20.45" customHeight="1">
      <c r="A23" s="520">
        <f>A18+1</f>
        <v>3</v>
      </c>
      <c r="B23" s="511" t="s">
        <v>1107</v>
      </c>
      <c r="C23" s="615"/>
      <c r="D23" s="615"/>
      <c r="E23" s="616"/>
      <c r="F23" s="617"/>
      <c r="G23" s="618"/>
    </row>
    <row r="24" spans="1:9" ht="33.75" customHeight="1">
      <c r="A24" s="505">
        <f>+A23+0.01</f>
        <v>3.01</v>
      </c>
      <c r="B24" s="497" t="s">
        <v>1158</v>
      </c>
      <c r="C24" s="615">
        <v>26</v>
      </c>
      <c r="D24" s="615" t="s">
        <v>108</v>
      </c>
      <c r="E24" s="616">
        <v>0</v>
      </c>
      <c r="F24" s="617">
        <f>+ROUND(C24*E24,2)</f>
        <v>0</v>
      </c>
      <c r="G24" s="620">
        <f>SUM(F24)</f>
        <v>0</v>
      </c>
      <c r="I24" s="495"/>
    </row>
    <row r="25" spans="1:9" ht="20.45" customHeight="1">
      <c r="A25" s="504"/>
      <c r="B25" s="465"/>
      <c r="C25" s="622"/>
      <c r="D25" s="615"/>
      <c r="E25" s="616"/>
      <c r="F25" s="617"/>
      <c r="G25" s="620"/>
    </row>
    <row r="26" spans="1:9" ht="20.45" customHeight="1">
      <c r="A26" s="520"/>
      <c r="B26" s="511" t="s">
        <v>1143</v>
      </c>
      <c r="C26" s="615"/>
      <c r="D26" s="615"/>
      <c r="E26" s="616"/>
      <c r="F26" s="617"/>
      <c r="G26" s="618"/>
    </row>
    <row r="27" spans="1:9" ht="20.45" customHeight="1">
      <c r="A27" s="520"/>
      <c r="B27" s="511"/>
      <c r="C27" s="615"/>
      <c r="D27" s="615"/>
      <c r="E27" s="616"/>
      <c r="F27" s="617"/>
      <c r="G27" s="618"/>
    </row>
    <row r="28" spans="1:9" ht="20.45" customHeight="1">
      <c r="A28" s="520">
        <f>A23+1</f>
        <v>4</v>
      </c>
      <c r="B28" s="511" t="s">
        <v>1107</v>
      </c>
      <c r="C28" s="615"/>
      <c r="D28" s="615"/>
      <c r="E28" s="616"/>
      <c r="F28" s="617"/>
      <c r="G28" s="618"/>
    </row>
    <row r="29" spans="1:9" ht="30.75" customHeight="1">
      <c r="A29" s="505">
        <f>+A28+0.01</f>
        <v>4.01</v>
      </c>
      <c r="B29" s="465" t="s">
        <v>1204</v>
      </c>
      <c r="C29" s="616">
        <v>1.31</v>
      </c>
      <c r="D29" s="615" t="s">
        <v>108</v>
      </c>
      <c r="E29" s="616">
        <v>0</v>
      </c>
      <c r="F29" s="617">
        <f t="shared" ref="F29:F35" si="3">+ROUND(C29*E29,2)</f>
        <v>0</v>
      </c>
      <c r="G29" s="618"/>
      <c r="H29" s="493"/>
    </row>
    <row r="30" spans="1:9" ht="30" customHeight="1">
      <c r="A30" s="505">
        <f t="shared" ref="A30:A35" si="4">+A29+0.01</f>
        <v>4.0199999999999996</v>
      </c>
      <c r="B30" s="465" t="s">
        <v>1186</v>
      </c>
      <c r="C30" s="615">
        <v>3.92</v>
      </c>
      <c r="D30" s="615" t="s">
        <v>108</v>
      </c>
      <c r="E30" s="616">
        <v>0</v>
      </c>
      <c r="F30" s="617">
        <f t="shared" si="3"/>
        <v>0</v>
      </c>
      <c r="G30" s="618"/>
      <c r="H30" s="493"/>
    </row>
    <row r="31" spans="1:9" ht="30" customHeight="1">
      <c r="A31" s="505">
        <f t="shared" si="4"/>
        <v>4.0299999999999994</v>
      </c>
      <c r="B31" s="465" t="s">
        <v>1187</v>
      </c>
      <c r="C31" s="615">
        <v>0.21</v>
      </c>
      <c r="D31" s="615" t="s">
        <v>108</v>
      </c>
      <c r="E31" s="616">
        <v>0</v>
      </c>
      <c r="F31" s="617">
        <f>+ROUND(C31*E31,2)</f>
        <v>0</v>
      </c>
      <c r="G31" s="618"/>
      <c r="H31" s="493"/>
    </row>
    <row r="32" spans="1:9" ht="30" customHeight="1">
      <c r="A32" s="505">
        <f t="shared" si="4"/>
        <v>4.0399999999999991</v>
      </c>
      <c r="B32" s="465" t="s">
        <v>1188</v>
      </c>
      <c r="C32" s="615">
        <v>0.6</v>
      </c>
      <c r="D32" s="615" t="s">
        <v>108</v>
      </c>
      <c r="E32" s="616">
        <v>0</v>
      </c>
      <c r="F32" s="617">
        <f>+ROUND(C32*E32,2)</f>
        <v>0</v>
      </c>
      <c r="G32" s="618"/>
      <c r="H32" s="493"/>
    </row>
    <row r="33" spans="1:8" ht="30" customHeight="1">
      <c r="A33" s="505">
        <f t="shared" si="4"/>
        <v>4.0499999999999989</v>
      </c>
      <c r="B33" s="465" t="s">
        <v>1169</v>
      </c>
      <c r="C33" s="615">
        <v>0.67</v>
      </c>
      <c r="D33" s="615" t="s">
        <v>108</v>
      </c>
      <c r="E33" s="616">
        <v>0</v>
      </c>
      <c r="F33" s="617">
        <f>+ROUND(C33*E33,2)</f>
        <v>0</v>
      </c>
      <c r="G33" s="618"/>
      <c r="H33" s="493"/>
    </row>
    <row r="34" spans="1:8" ht="30" customHeight="1">
      <c r="A34" s="505">
        <f t="shared" si="4"/>
        <v>4.0599999999999987</v>
      </c>
      <c r="B34" s="465" t="s">
        <v>1157</v>
      </c>
      <c r="C34" s="615">
        <v>1.8599999999999999</v>
      </c>
      <c r="D34" s="615" t="s">
        <v>108</v>
      </c>
      <c r="E34" s="616">
        <v>0</v>
      </c>
      <c r="F34" s="617">
        <f t="shared" ref="F34" si="5">+ROUND(C34*E34,2)</f>
        <v>0</v>
      </c>
      <c r="G34" s="618"/>
      <c r="H34" s="493"/>
    </row>
    <row r="35" spans="1:8" ht="20.45" customHeight="1">
      <c r="A35" s="504">
        <f t="shared" si="4"/>
        <v>4.0699999999999985</v>
      </c>
      <c r="B35" s="497" t="s">
        <v>1189</v>
      </c>
      <c r="C35" s="615">
        <v>12.42</v>
      </c>
      <c r="D35" s="615" t="s">
        <v>108</v>
      </c>
      <c r="E35" s="616">
        <v>0</v>
      </c>
      <c r="F35" s="617">
        <f t="shared" si="3"/>
        <v>0</v>
      </c>
      <c r="G35" s="620">
        <f>SUM(F29:F35)</f>
        <v>0</v>
      </c>
      <c r="H35" s="493"/>
    </row>
    <row r="36" spans="1:8" ht="20.45" customHeight="1">
      <c r="A36" s="520">
        <f>A28+1</f>
        <v>5</v>
      </c>
      <c r="B36" s="511" t="s">
        <v>1124</v>
      </c>
      <c r="C36" s="615"/>
      <c r="D36" s="615"/>
      <c r="E36" s="616"/>
      <c r="F36" s="617"/>
      <c r="G36" s="618"/>
    </row>
    <row r="37" spans="1:8" ht="35.25" customHeight="1">
      <c r="A37" s="505">
        <f>+A36+0.01</f>
        <v>5.01</v>
      </c>
      <c r="B37" s="465" t="s">
        <v>1150</v>
      </c>
      <c r="C37" s="615">
        <v>62.76</v>
      </c>
      <c r="D37" s="615" t="s">
        <v>39</v>
      </c>
      <c r="E37" s="616">
        <v>0</v>
      </c>
      <c r="F37" s="617">
        <f>+ROUND(C37*E37,2)</f>
        <v>0</v>
      </c>
      <c r="G37" s="618"/>
      <c r="H37" s="493"/>
    </row>
    <row r="38" spans="1:8" ht="40.5" customHeight="1">
      <c r="A38" s="505">
        <f>+A37+0.01</f>
        <v>5.0199999999999996</v>
      </c>
      <c r="B38" s="465" t="s">
        <v>1151</v>
      </c>
      <c r="C38" s="615">
        <v>86.26</v>
      </c>
      <c r="D38" s="615" t="s">
        <v>39</v>
      </c>
      <c r="E38" s="616">
        <v>0</v>
      </c>
      <c r="F38" s="617">
        <f>+ROUND(C38*E38,2)</f>
        <v>0</v>
      </c>
      <c r="G38" s="620">
        <f>SUM(F37:F38)</f>
        <v>0</v>
      </c>
      <c r="H38" s="493"/>
    </row>
    <row r="39" spans="1:8" ht="20.45" customHeight="1">
      <c r="A39" s="520">
        <f>A36+1</f>
        <v>6</v>
      </c>
      <c r="B39" s="511" t="s">
        <v>480</v>
      </c>
      <c r="C39" s="615"/>
      <c r="D39" s="615"/>
      <c r="E39" s="616"/>
      <c r="F39" s="617"/>
      <c r="G39" s="618"/>
    </row>
    <row r="40" spans="1:8" ht="20.45" customHeight="1">
      <c r="A40" s="504">
        <f>+A39+0.01</f>
        <v>6.01</v>
      </c>
      <c r="B40" s="468" t="s">
        <v>1147</v>
      </c>
      <c r="C40" s="615">
        <v>252.97999999999996</v>
      </c>
      <c r="D40" s="615" t="s">
        <v>39</v>
      </c>
      <c r="E40" s="616">
        <v>0</v>
      </c>
      <c r="F40" s="617">
        <f t="shared" ref="F40:F48" si="6">+ROUND(C40*E40,2)</f>
        <v>0</v>
      </c>
      <c r="G40" s="618"/>
      <c r="H40" s="493"/>
    </row>
    <row r="41" spans="1:8" ht="20.45" customHeight="1">
      <c r="A41" s="504">
        <f t="shared" ref="A41:A48" si="7">+A40+0.01</f>
        <v>6.02</v>
      </c>
      <c r="B41" s="468" t="s">
        <v>1190</v>
      </c>
      <c r="C41" s="615">
        <v>163.67999999999998</v>
      </c>
      <c r="D41" s="615" t="s">
        <v>39</v>
      </c>
      <c r="E41" s="616">
        <v>0</v>
      </c>
      <c r="F41" s="617">
        <f t="shared" si="6"/>
        <v>0</v>
      </c>
      <c r="G41" s="618"/>
      <c r="H41" s="493"/>
    </row>
    <row r="42" spans="1:8" ht="20.45" customHeight="1">
      <c r="A42" s="504">
        <f t="shared" si="7"/>
        <v>6.0299999999999994</v>
      </c>
      <c r="B42" s="468" t="s">
        <v>1116</v>
      </c>
      <c r="C42" s="615">
        <v>67.63</v>
      </c>
      <c r="D42" s="615" t="s">
        <v>39</v>
      </c>
      <c r="E42" s="616">
        <v>0</v>
      </c>
      <c r="F42" s="617">
        <f t="shared" si="6"/>
        <v>0</v>
      </c>
      <c r="G42" s="618"/>
    </row>
    <row r="43" spans="1:8" ht="20.45" customHeight="1">
      <c r="A43" s="504">
        <f t="shared" si="7"/>
        <v>6.0399999999999991</v>
      </c>
      <c r="B43" s="468" t="s">
        <v>1146</v>
      </c>
      <c r="C43" s="615">
        <v>89.299999999999983</v>
      </c>
      <c r="D43" s="615" t="s">
        <v>39</v>
      </c>
      <c r="E43" s="616">
        <v>0</v>
      </c>
      <c r="F43" s="617">
        <f t="shared" si="6"/>
        <v>0</v>
      </c>
      <c r="G43" s="618"/>
      <c r="H43" s="493"/>
    </row>
    <row r="44" spans="1:8" ht="20.45" customHeight="1">
      <c r="A44" s="504">
        <f t="shared" si="7"/>
        <v>6.0499999999999989</v>
      </c>
      <c r="B44" s="468" t="s">
        <v>1117</v>
      </c>
      <c r="C44" s="615">
        <v>468.89999999999992</v>
      </c>
      <c r="D44" s="615" t="s">
        <v>91</v>
      </c>
      <c r="E44" s="616">
        <v>0</v>
      </c>
      <c r="F44" s="617">
        <f t="shared" si="6"/>
        <v>0</v>
      </c>
      <c r="G44" s="620">
        <f>SUM(F40:F44)</f>
        <v>0</v>
      </c>
      <c r="H44" s="493"/>
    </row>
    <row r="45" spans="1:8" ht="20.45" customHeight="1">
      <c r="A45" s="520">
        <f>A39+1</f>
        <v>7</v>
      </c>
      <c r="B45" s="511" t="s">
        <v>1200</v>
      </c>
      <c r="C45" s="615"/>
      <c r="D45" s="615"/>
      <c r="E45" s="616"/>
      <c r="F45" s="617"/>
      <c r="G45" s="618"/>
    </row>
    <row r="46" spans="1:8" ht="20.45" customHeight="1">
      <c r="A46" s="504">
        <f>+A45+0.01</f>
        <v>7.01</v>
      </c>
      <c r="B46" s="468" t="s">
        <v>1130</v>
      </c>
      <c r="C46" s="615">
        <v>225.59999999999997</v>
      </c>
      <c r="D46" s="615" t="s">
        <v>91</v>
      </c>
      <c r="E46" s="616">
        <v>0</v>
      </c>
      <c r="F46" s="617">
        <f t="shared" si="6"/>
        <v>0</v>
      </c>
      <c r="G46" s="618"/>
      <c r="H46" s="493"/>
    </row>
    <row r="47" spans="1:8" ht="33" customHeight="1">
      <c r="A47" s="505">
        <f t="shared" si="7"/>
        <v>7.02</v>
      </c>
      <c r="B47" s="465" t="s">
        <v>1137</v>
      </c>
      <c r="C47" s="615">
        <v>89.299999999999983</v>
      </c>
      <c r="D47" s="615" t="s">
        <v>39</v>
      </c>
      <c r="E47" s="616">
        <v>0</v>
      </c>
      <c r="F47" s="617">
        <f t="shared" si="6"/>
        <v>0</v>
      </c>
      <c r="G47" s="620"/>
      <c r="H47" s="493"/>
    </row>
    <row r="48" spans="1:8" ht="30.75" customHeight="1">
      <c r="A48" s="505">
        <f t="shared" si="7"/>
        <v>7.0299999999999994</v>
      </c>
      <c r="B48" s="465" t="s">
        <v>1205</v>
      </c>
      <c r="C48" s="615">
        <v>89.299999999999983</v>
      </c>
      <c r="D48" s="615" t="s">
        <v>39</v>
      </c>
      <c r="E48" s="616">
        <v>0</v>
      </c>
      <c r="F48" s="617">
        <f t="shared" si="6"/>
        <v>0</v>
      </c>
      <c r="G48" s="620">
        <f>SUM(F46:F48)</f>
        <v>0</v>
      </c>
      <c r="H48" s="493"/>
    </row>
    <row r="49" spans="1:9" ht="20.45" customHeight="1">
      <c r="A49" s="520">
        <f>A45+1</f>
        <v>8</v>
      </c>
      <c r="B49" s="511" t="s">
        <v>1191</v>
      </c>
      <c r="C49" s="615"/>
      <c r="D49" s="615"/>
      <c r="E49" s="616"/>
      <c r="F49" s="617"/>
      <c r="G49" s="618"/>
    </row>
    <row r="50" spans="1:9" ht="20.45" customHeight="1">
      <c r="A50" s="504">
        <f>+A49+0.01</f>
        <v>8.01</v>
      </c>
      <c r="B50" s="465" t="s">
        <v>1129</v>
      </c>
      <c r="C50" s="615">
        <v>317.19</v>
      </c>
      <c r="D50" s="615" t="s">
        <v>39</v>
      </c>
      <c r="E50" s="616">
        <v>0</v>
      </c>
      <c r="F50" s="617">
        <f>+ROUND(C50*E50,2)</f>
        <v>0</v>
      </c>
      <c r="G50" s="618"/>
      <c r="H50" s="493"/>
    </row>
    <row r="51" spans="1:9" ht="30" customHeight="1">
      <c r="A51" s="505">
        <f>+A50+0.01</f>
        <v>8.02</v>
      </c>
      <c r="B51" s="465" t="s">
        <v>1127</v>
      </c>
      <c r="C51" s="615">
        <v>252.97999999999996</v>
      </c>
      <c r="D51" s="615" t="s">
        <v>39</v>
      </c>
      <c r="E51" s="616">
        <v>0</v>
      </c>
      <c r="F51" s="617">
        <f t="shared" ref="F51:F52" si="8">+ROUND(C51*E51,2)</f>
        <v>0</v>
      </c>
      <c r="G51" s="620"/>
      <c r="H51" s="493"/>
    </row>
    <row r="52" spans="1:9" ht="32.25" customHeight="1">
      <c r="A52" s="505">
        <f>+A51+0.01</f>
        <v>8.0299999999999994</v>
      </c>
      <c r="B52" s="465" t="s">
        <v>1128</v>
      </c>
      <c r="C52" s="615">
        <v>64.209999999999994</v>
      </c>
      <c r="D52" s="615" t="s">
        <v>39</v>
      </c>
      <c r="E52" s="616">
        <v>0</v>
      </c>
      <c r="F52" s="617">
        <f t="shared" si="8"/>
        <v>0</v>
      </c>
      <c r="G52" s="620">
        <f>SUM(F50:F52)</f>
        <v>0</v>
      </c>
      <c r="H52" s="493"/>
    </row>
    <row r="53" spans="1:9" ht="20.45" customHeight="1">
      <c r="A53" s="520">
        <f>A49+1</f>
        <v>9</v>
      </c>
      <c r="B53" s="511" t="s">
        <v>1109</v>
      </c>
      <c r="C53" s="615"/>
      <c r="D53" s="615"/>
      <c r="E53" s="616"/>
      <c r="F53" s="617"/>
      <c r="G53" s="618"/>
    </row>
    <row r="54" spans="1:9" ht="20.45" customHeight="1">
      <c r="A54" s="504">
        <f>+A53+0.01</f>
        <v>9.01</v>
      </c>
      <c r="B54" s="465" t="s">
        <v>1154</v>
      </c>
      <c r="C54" s="615">
        <v>3.42</v>
      </c>
      <c r="D54" s="615" t="s">
        <v>39</v>
      </c>
      <c r="E54" s="616">
        <v>0</v>
      </c>
      <c r="F54" s="617">
        <f>+ROUND(C54*E54,2)</f>
        <v>0</v>
      </c>
      <c r="G54" s="618"/>
      <c r="H54" s="493"/>
    </row>
    <row r="55" spans="1:9" ht="20.45" customHeight="1">
      <c r="A55" s="504">
        <f t="shared" ref="A55:A58" si="9">+A54+0.01</f>
        <v>9.02</v>
      </c>
      <c r="B55" s="465" t="s">
        <v>1202</v>
      </c>
      <c r="C55" s="615">
        <v>9.6999999999999993</v>
      </c>
      <c r="D55" s="615" t="s">
        <v>91</v>
      </c>
      <c r="E55" s="616">
        <v>0</v>
      </c>
      <c r="F55" s="617">
        <f>+ROUND(C55*E55,2)</f>
        <v>0</v>
      </c>
      <c r="G55" s="618"/>
      <c r="H55" s="493"/>
    </row>
    <row r="56" spans="1:9" ht="20.45" customHeight="1">
      <c r="A56" s="504">
        <f t="shared" si="9"/>
        <v>9.0299999999999994</v>
      </c>
      <c r="B56" s="465" t="s">
        <v>1193</v>
      </c>
      <c r="C56" s="615">
        <v>16.060000000000002</v>
      </c>
      <c r="D56" s="615" t="s">
        <v>39</v>
      </c>
      <c r="E56" s="616">
        <v>0</v>
      </c>
      <c r="F56" s="617">
        <f>+ROUND(C56*E56,2)</f>
        <v>0</v>
      </c>
      <c r="G56" s="618"/>
      <c r="H56" s="493"/>
    </row>
    <row r="57" spans="1:9" ht="20.45" customHeight="1">
      <c r="A57" s="504">
        <f t="shared" si="9"/>
        <v>9.0399999999999991</v>
      </c>
      <c r="B57" s="465" t="s">
        <v>1192</v>
      </c>
      <c r="C57" s="615">
        <v>16.060000000000002</v>
      </c>
      <c r="D57" s="615" t="s">
        <v>39</v>
      </c>
      <c r="E57" s="616">
        <v>0</v>
      </c>
      <c r="F57" s="617">
        <f t="shared" ref="F57:F58" si="10">+ROUND(C57*E57,2)</f>
        <v>0</v>
      </c>
      <c r="G57" s="618"/>
      <c r="H57" s="493"/>
    </row>
    <row r="58" spans="1:9" ht="20.45" customHeight="1">
      <c r="A58" s="504">
        <f t="shared" si="9"/>
        <v>9.0499999999999989</v>
      </c>
      <c r="B58" s="465" t="s">
        <v>1159</v>
      </c>
      <c r="C58" s="615">
        <v>17.100000000000001</v>
      </c>
      <c r="D58" s="615" t="s">
        <v>91</v>
      </c>
      <c r="E58" s="616">
        <v>0</v>
      </c>
      <c r="F58" s="617">
        <f t="shared" si="10"/>
        <v>0</v>
      </c>
      <c r="G58" s="620">
        <f>SUM(F54:F58)</f>
        <v>0</v>
      </c>
      <c r="H58" s="493"/>
      <c r="I58" s="496"/>
    </row>
    <row r="59" spans="1:9" ht="20.45" customHeight="1">
      <c r="A59" s="520">
        <f>A53+1</f>
        <v>10</v>
      </c>
      <c r="B59" s="511" t="s">
        <v>1110</v>
      </c>
      <c r="C59" s="615"/>
      <c r="D59" s="615"/>
      <c r="E59" s="616"/>
      <c r="F59" s="617"/>
      <c r="G59" s="618"/>
      <c r="H59" s="475"/>
    </row>
    <row r="60" spans="1:9" ht="33.75" customHeight="1">
      <c r="A60" s="505">
        <f t="shared" ref="A60:A62" si="11">+A59+0.01</f>
        <v>10.01</v>
      </c>
      <c r="B60" s="465" t="s">
        <v>1194</v>
      </c>
      <c r="C60" s="615">
        <v>16</v>
      </c>
      <c r="D60" s="615" t="s">
        <v>16</v>
      </c>
      <c r="E60" s="616">
        <v>0</v>
      </c>
      <c r="F60" s="617">
        <f t="shared" ref="F60" si="12">+ROUND(C60*E60,2)</f>
        <v>0</v>
      </c>
      <c r="G60" s="620"/>
      <c r="H60" s="493"/>
    </row>
    <row r="61" spans="1:9" ht="45" customHeight="1">
      <c r="A61" s="505">
        <f t="shared" si="11"/>
        <v>10.02</v>
      </c>
      <c r="B61" s="465" t="s">
        <v>1201</v>
      </c>
      <c r="C61" s="615">
        <v>2</v>
      </c>
      <c r="D61" s="615" t="s">
        <v>16</v>
      </c>
      <c r="E61" s="616">
        <v>0</v>
      </c>
      <c r="F61" s="617">
        <f>+ROUND(C61*E61,2)</f>
        <v>0</v>
      </c>
      <c r="G61" s="620"/>
      <c r="H61" s="493"/>
    </row>
    <row r="62" spans="1:9" ht="20.45" customHeight="1">
      <c r="A62" s="504">
        <f t="shared" si="11"/>
        <v>10.029999999999999</v>
      </c>
      <c r="B62" s="465" t="s">
        <v>1161</v>
      </c>
      <c r="C62" s="615">
        <v>18.690000000000001</v>
      </c>
      <c r="D62" s="615" t="s">
        <v>91</v>
      </c>
      <c r="E62" s="616">
        <v>0</v>
      </c>
      <c r="F62" s="617">
        <f>+ROUND(C62*E62,2)</f>
        <v>0</v>
      </c>
      <c r="G62" s="620">
        <f>SUM(F60:F62)</f>
        <v>0</v>
      </c>
    </row>
    <row r="63" spans="1:9" ht="20.45" customHeight="1">
      <c r="A63" s="520">
        <f>A59+1</f>
        <v>11</v>
      </c>
      <c r="B63" s="511" t="s">
        <v>686</v>
      </c>
      <c r="C63" s="615"/>
      <c r="D63" s="615"/>
      <c r="E63" s="616"/>
      <c r="F63" s="617"/>
      <c r="G63" s="618"/>
      <c r="H63" s="475"/>
    </row>
    <row r="64" spans="1:9" ht="30" customHeight="1">
      <c r="A64" s="505">
        <f t="shared" ref="A64:A66" si="13">+A63+0.01</f>
        <v>11.01</v>
      </c>
      <c r="B64" s="465" t="s">
        <v>1170</v>
      </c>
      <c r="C64" s="615">
        <v>4</v>
      </c>
      <c r="D64" s="615" t="s">
        <v>16</v>
      </c>
      <c r="E64" s="616">
        <v>0</v>
      </c>
      <c r="F64" s="617">
        <f t="shared" ref="F64:F66" si="14">+ROUND(C64*E64,2)</f>
        <v>0</v>
      </c>
      <c r="G64" s="620"/>
      <c r="H64" s="493"/>
    </row>
    <row r="65" spans="1:8" ht="32.25" customHeight="1">
      <c r="A65" s="505">
        <f t="shared" si="13"/>
        <v>11.02</v>
      </c>
      <c r="B65" s="465" t="s">
        <v>1148</v>
      </c>
      <c r="C65" s="615">
        <v>43</v>
      </c>
      <c r="D65" s="615" t="s">
        <v>16</v>
      </c>
      <c r="E65" s="616">
        <v>0</v>
      </c>
      <c r="F65" s="617">
        <f t="shared" si="14"/>
        <v>0</v>
      </c>
      <c r="G65" s="620"/>
      <c r="H65" s="493"/>
    </row>
    <row r="66" spans="1:8" ht="30" customHeight="1">
      <c r="A66" s="505">
        <f t="shared" si="13"/>
        <v>11.03</v>
      </c>
      <c r="B66" s="465" t="s">
        <v>1163</v>
      </c>
      <c r="C66" s="615">
        <v>1</v>
      </c>
      <c r="D66" s="615" t="s">
        <v>16</v>
      </c>
      <c r="E66" s="616">
        <v>0</v>
      </c>
      <c r="F66" s="617">
        <f t="shared" si="14"/>
        <v>0</v>
      </c>
      <c r="G66" s="620">
        <f>SUM(F64:F66)</f>
        <v>0</v>
      </c>
      <c r="H66" s="493"/>
    </row>
    <row r="67" spans="1:8" ht="20.45" customHeight="1">
      <c r="A67" s="504"/>
      <c r="B67" s="465"/>
      <c r="C67" s="615"/>
      <c r="D67" s="615"/>
      <c r="E67" s="616"/>
      <c r="F67" s="617"/>
      <c r="G67" s="620"/>
      <c r="H67" s="475"/>
    </row>
    <row r="68" spans="1:8" ht="20.45" customHeight="1">
      <c r="A68" s="520"/>
      <c r="B68" s="511" t="s">
        <v>1144</v>
      </c>
      <c r="C68" s="615"/>
      <c r="D68" s="615"/>
      <c r="E68" s="616"/>
      <c r="F68" s="617"/>
      <c r="G68" s="618"/>
      <c r="H68" s="475"/>
    </row>
    <row r="69" spans="1:8" ht="20.45" customHeight="1">
      <c r="A69" s="520"/>
      <c r="B69" s="511"/>
      <c r="C69" s="615"/>
      <c r="D69" s="615"/>
      <c r="E69" s="616"/>
      <c r="F69" s="617"/>
      <c r="G69" s="618"/>
      <c r="H69" s="475"/>
    </row>
    <row r="70" spans="1:8" ht="20.45" customHeight="1">
      <c r="A70" s="520">
        <f>A63+1</f>
        <v>12</v>
      </c>
      <c r="B70" s="511" t="s">
        <v>1107</v>
      </c>
      <c r="C70" s="615"/>
      <c r="D70" s="615"/>
      <c r="E70" s="616"/>
      <c r="F70" s="617"/>
      <c r="G70" s="618"/>
    </row>
    <row r="71" spans="1:8" ht="33.75" customHeight="1">
      <c r="A71" s="505">
        <f>+A70+0.01</f>
        <v>12.01</v>
      </c>
      <c r="B71" s="465" t="s">
        <v>1204</v>
      </c>
      <c r="C71" s="615">
        <v>2.6</v>
      </c>
      <c r="D71" s="615" t="s">
        <v>108</v>
      </c>
      <c r="E71" s="616">
        <v>0</v>
      </c>
      <c r="F71" s="617">
        <f t="shared" ref="F71" si="15">+ROUND(C71*E71,2)</f>
        <v>0</v>
      </c>
      <c r="G71" s="620"/>
      <c r="H71" s="493"/>
    </row>
    <row r="72" spans="1:8" ht="36" customHeight="1">
      <c r="A72" s="505">
        <f t="shared" ref="A72:A75" si="16">+A71+0.01</f>
        <v>12.02</v>
      </c>
      <c r="B72" s="465" t="s">
        <v>1186</v>
      </c>
      <c r="C72" s="615">
        <v>7.8</v>
      </c>
      <c r="D72" s="615" t="s">
        <v>108</v>
      </c>
      <c r="E72" s="616">
        <v>0</v>
      </c>
      <c r="F72" s="617">
        <f>+ROUND(C72*E72,2)</f>
        <v>0</v>
      </c>
      <c r="G72" s="620"/>
      <c r="H72" s="493"/>
    </row>
    <row r="73" spans="1:8" ht="31.5" customHeight="1">
      <c r="A73" s="505">
        <f t="shared" si="16"/>
        <v>12.03</v>
      </c>
      <c r="B73" s="465" t="s">
        <v>1187</v>
      </c>
      <c r="C73" s="615">
        <v>0.61</v>
      </c>
      <c r="D73" s="615" t="s">
        <v>108</v>
      </c>
      <c r="E73" s="616">
        <v>0</v>
      </c>
      <c r="F73" s="617">
        <f>+ROUND(C73*E73,2)</f>
        <v>0</v>
      </c>
      <c r="G73" s="620"/>
      <c r="H73" s="493"/>
    </row>
    <row r="74" spans="1:8" ht="34.5" customHeight="1">
      <c r="A74" s="505">
        <f t="shared" si="16"/>
        <v>12.04</v>
      </c>
      <c r="B74" s="465" t="s">
        <v>1169</v>
      </c>
      <c r="C74" s="615">
        <v>0.56000000000000005</v>
      </c>
      <c r="D74" s="615" t="s">
        <v>108</v>
      </c>
      <c r="E74" s="616">
        <v>0</v>
      </c>
      <c r="F74" s="617">
        <f>+ROUND(C74*E74,2)</f>
        <v>0</v>
      </c>
      <c r="G74" s="620"/>
      <c r="H74" s="493"/>
    </row>
    <row r="75" spans="1:8" ht="31.5" customHeight="1">
      <c r="A75" s="505">
        <f t="shared" si="16"/>
        <v>12.049999999999999</v>
      </c>
      <c r="B75" s="531" t="s">
        <v>1195</v>
      </c>
      <c r="C75" s="615">
        <v>9.6300000000000008</v>
      </c>
      <c r="D75" s="615" t="s">
        <v>108</v>
      </c>
      <c r="E75" s="616">
        <v>0</v>
      </c>
      <c r="F75" s="617">
        <f>+ROUND(C75*E75,2)</f>
        <v>0</v>
      </c>
      <c r="G75" s="620">
        <f>SUM(F71:F75)</f>
        <v>0</v>
      </c>
      <c r="H75" s="493"/>
    </row>
    <row r="76" spans="1:8" ht="20.45" customHeight="1">
      <c r="A76" s="520">
        <f>A70+1</f>
        <v>13</v>
      </c>
      <c r="B76" s="511" t="s">
        <v>1124</v>
      </c>
      <c r="C76" s="615"/>
      <c r="D76" s="615"/>
      <c r="E76" s="616"/>
      <c r="F76" s="617"/>
      <c r="G76" s="618"/>
    </row>
    <row r="77" spans="1:8" ht="32.25" customHeight="1">
      <c r="A77" s="505">
        <f>+A76+0.01</f>
        <v>13.01</v>
      </c>
      <c r="B77" s="465" t="s">
        <v>1150</v>
      </c>
      <c r="C77" s="615">
        <v>46.45</v>
      </c>
      <c r="D77" s="615" t="s">
        <v>39</v>
      </c>
      <c r="E77" s="616">
        <v>0</v>
      </c>
      <c r="F77" s="617">
        <f>+ROUND(C77*E77,2)</f>
        <v>0</v>
      </c>
      <c r="G77" s="620"/>
      <c r="H77" s="493"/>
    </row>
    <row r="78" spans="1:8" ht="33.75" customHeight="1">
      <c r="A78" s="505">
        <f>+A77+0.01</f>
        <v>13.02</v>
      </c>
      <c r="B78" s="465" t="s">
        <v>1151</v>
      </c>
      <c r="C78" s="615">
        <v>51.3</v>
      </c>
      <c r="D78" s="615" t="s">
        <v>39</v>
      </c>
      <c r="E78" s="616">
        <v>0</v>
      </c>
      <c r="F78" s="617">
        <f>+ROUND(C78*E78,2)</f>
        <v>0</v>
      </c>
      <c r="G78" s="620">
        <f>SUM(F77:F78)</f>
        <v>0</v>
      </c>
      <c r="H78" s="493"/>
    </row>
    <row r="79" spans="1:8" ht="20.45" customHeight="1">
      <c r="A79" s="520">
        <f>A76+1</f>
        <v>14</v>
      </c>
      <c r="B79" s="511" t="s">
        <v>480</v>
      </c>
      <c r="C79" s="615"/>
      <c r="D79" s="615"/>
      <c r="E79" s="616"/>
      <c r="F79" s="617"/>
      <c r="G79" s="618"/>
    </row>
    <row r="80" spans="1:8" ht="20.45" customHeight="1">
      <c r="A80" s="504">
        <f>+A79+0.01</f>
        <v>14.01</v>
      </c>
      <c r="B80" s="468" t="s">
        <v>1147</v>
      </c>
      <c r="C80" s="615">
        <v>194.61999999999995</v>
      </c>
      <c r="D80" s="615" t="s">
        <v>39</v>
      </c>
      <c r="E80" s="616">
        <v>0</v>
      </c>
      <c r="F80" s="617">
        <f t="shared" ref="F80:F88" si="17">+ROUND(C80*E80,2)</f>
        <v>0</v>
      </c>
      <c r="G80" s="618"/>
      <c r="H80" s="493"/>
    </row>
    <row r="81" spans="1:8" ht="20.45" customHeight="1">
      <c r="A81" s="504">
        <f t="shared" ref="A81:A88" si="18">+A80+0.01</f>
        <v>14.02</v>
      </c>
      <c r="B81" s="468" t="s">
        <v>1190</v>
      </c>
      <c r="C81" s="615">
        <v>124.31999999999998</v>
      </c>
      <c r="D81" s="615" t="s">
        <v>39</v>
      </c>
      <c r="E81" s="616">
        <v>0</v>
      </c>
      <c r="F81" s="617">
        <f t="shared" si="17"/>
        <v>0</v>
      </c>
      <c r="G81" s="618"/>
      <c r="H81" s="493"/>
    </row>
    <row r="82" spans="1:8" ht="20.45" customHeight="1">
      <c r="A82" s="504">
        <f t="shared" si="18"/>
        <v>14.03</v>
      </c>
      <c r="B82" s="468" t="s">
        <v>1116</v>
      </c>
      <c r="C82" s="615">
        <v>47.7</v>
      </c>
      <c r="D82" s="615" t="s">
        <v>39</v>
      </c>
      <c r="E82" s="616">
        <v>0</v>
      </c>
      <c r="F82" s="617">
        <f t="shared" si="17"/>
        <v>0</v>
      </c>
      <c r="G82" s="618"/>
      <c r="H82" s="493"/>
    </row>
    <row r="83" spans="1:8" ht="20.45" customHeight="1">
      <c r="A83" s="504">
        <f t="shared" si="18"/>
        <v>14.04</v>
      </c>
      <c r="B83" s="468" t="s">
        <v>1146</v>
      </c>
      <c r="C83" s="615">
        <v>70.299999999999983</v>
      </c>
      <c r="D83" s="615" t="s">
        <v>39</v>
      </c>
      <c r="E83" s="616">
        <v>0</v>
      </c>
      <c r="F83" s="617">
        <f t="shared" si="17"/>
        <v>0</v>
      </c>
      <c r="G83" s="618"/>
      <c r="H83" s="493"/>
    </row>
    <row r="84" spans="1:8" ht="20.45" customHeight="1">
      <c r="A84" s="504">
        <f t="shared" si="18"/>
        <v>14.049999999999999</v>
      </c>
      <c r="B84" s="468" t="s">
        <v>1117</v>
      </c>
      <c r="C84" s="615">
        <v>371.16999999999996</v>
      </c>
      <c r="D84" s="615" t="s">
        <v>91</v>
      </c>
      <c r="E84" s="616">
        <v>0</v>
      </c>
      <c r="F84" s="617">
        <f t="shared" si="17"/>
        <v>0</v>
      </c>
      <c r="G84" s="620">
        <f>SUM(F80:F84)</f>
        <v>0</v>
      </c>
      <c r="H84" s="493"/>
    </row>
    <row r="85" spans="1:8" ht="20.45" customHeight="1">
      <c r="A85" s="520">
        <f>A79+1</f>
        <v>15</v>
      </c>
      <c r="B85" s="511" t="s">
        <v>1200</v>
      </c>
      <c r="C85" s="615"/>
      <c r="D85" s="615"/>
      <c r="E85" s="616"/>
      <c r="F85" s="617"/>
      <c r="G85" s="618"/>
    </row>
    <row r="86" spans="1:8" ht="20.45" customHeight="1">
      <c r="A86" s="504">
        <f>+A85+0.01</f>
        <v>15.01</v>
      </c>
      <c r="B86" s="468" t="s">
        <v>1130</v>
      </c>
      <c r="C86" s="615">
        <v>177.59999999999997</v>
      </c>
      <c r="D86" s="615" t="s">
        <v>91</v>
      </c>
      <c r="E86" s="616">
        <v>0</v>
      </c>
      <c r="F86" s="617">
        <f t="shared" si="17"/>
        <v>0</v>
      </c>
      <c r="G86" s="618"/>
      <c r="H86" s="493"/>
    </row>
    <row r="87" spans="1:8" ht="32.25" customHeight="1">
      <c r="A87" s="505">
        <f t="shared" si="18"/>
        <v>15.02</v>
      </c>
      <c r="B87" s="465" t="s">
        <v>1137</v>
      </c>
      <c r="C87" s="615">
        <v>70.299999999999983</v>
      </c>
      <c r="D87" s="615" t="s">
        <v>39</v>
      </c>
      <c r="E87" s="616">
        <v>0</v>
      </c>
      <c r="F87" s="617">
        <f t="shared" si="17"/>
        <v>0</v>
      </c>
      <c r="G87" s="620"/>
      <c r="H87" s="493"/>
    </row>
    <row r="88" spans="1:8" ht="33" customHeight="1">
      <c r="A88" s="504">
        <f t="shared" si="18"/>
        <v>15.03</v>
      </c>
      <c r="B88" s="465" t="s">
        <v>1205</v>
      </c>
      <c r="C88" s="615">
        <v>70.3</v>
      </c>
      <c r="D88" s="615" t="s">
        <v>39</v>
      </c>
      <c r="E88" s="616">
        <v>0</v>
      </c>
      <c r="F88" s="617">
        <f t="shared" si="17"/>
        <v>0</v>
      </c>
      <c r="G88" s="620">
        <f>SUM(F86:F88)</f>
        <v>0</v>
      </c>
      <c r="H88" s="493"/>
    </row>
    <row r="89" spans="1:8" ht="20.45" customHeight="1">
      <c r="A89" s="520">
        <f>A85+1</f>
        <v>16</v>
      </c>
      <c r="B89" s="511" t="s">
        <v>1191</v>
      </c>
      <c r="C89" s="615"/>
      <c r="D89" s="615"/>
      <c r="E89" s="616"/>
      <c r="F89" s="617"/>
      <c r="G89" s="618"/>
    </row>
    <row r="90" spans="1:8" ht="20.45" customHeight="1">
      <c r="A90" s="504">
        <f>+A89+0.01</f>
        <v>16.010000000000002</v>
      </c>
      <c r="B90" s="465" t="s">
        <v>1129</v>
      </c>
      <c r="C90" s="615">
        <v>238.9</v>
      </c>
      <c r="D90" s="615" t="s">
        <v>39</v>
      </c>
      <c r="E90" s="616">
        <v>0</v>
      </c>
      <c r="F90" s="617">
        <f>+ROUND(C90*E90,2)</f>
        <v>0</v>
      </c>
      <c r="G90" s="618"/>
      <c r="H90" s="493"/>
    </row>
    <row r="91" spans="1:8" ht="33.75" customHeight="1">
      <c r="A91" s="505">
        <f>+A90+0.01</f>
        <v>16.020000000000003</v>
      </c>
      <c r="B91" s="465" t="s">
        <v>1127</v>
      </c>
      <c r="C91" s="615">
        <v>194.61999999999995</v>
      </c>
      <c r="D91" s="615" t="s">
        <v>39</v>
      </c>
      <c r="E91" s="616">
        <v>0</v>
      </c>
      <c r="F91" s="617">
        <f t="shared" ref="F91:F92" si="19">+ROUND(C91*E91,2)</f>
        <v>0</v>
      </c>
      <c r="G91" s="620"/>
      <c r="H91" s="493"/>
    </row>
    <row r="92" spans="1:8" ht="33" customHeight="1">
      <c r="A92" s="505">
        <f>+A91+0.01</f>
        <v>16.030000000000005</v>
      </c>
      <c r="B92" s="465" t="s">
        <v>1128</v>
      </c>
      <c r="C92" s="615">
        <v>44.28</v>
      </c>
      <c r="D92" s="615" t="s">
        <v>39</v>
      </c>
      <c r="E92" s="616">
        <v>0</v>
      </c>
      <c r="F92" s="617">
        <f t="shared" si="19"/>
        <v>0</v>
      </c>
      <c r="G92" s="620">
        <f>SUM(F90:F92)</f>
        <v>0</v>
      </c>
      <c r="H92" s="493"/>
    </row>
    <row r="93" spans="1:8" ht="20.45" customHeight="1">
      <c r="A93" s="520">
        <f>A89+1</f>
        <v>17</v>
      </c>
      <c r="B93" s="511" t="s">
        <v>1109</v>
      </c>
      <c r="C93" s="615"/>
      <c r="D93" s="615"/>
      <c r="E93" s="616"/>
      <c r="F93" s="617"/>
      <c r="G93" s="618"/>
    </row>
    <row r="94" spans="1:8" ht="20.45" customHeight="1">
      <c r="A94" s="504">
        <f>+A93+0.01</f>
        <v>17.010000000000002</v>
      </c>
      <c r="B94" s="465" t="s">
        <v>1154</v>
      </c>
      <c r="C94" s="615">
        <v>3.42</v>
      </c>
      <c r="D94" s="615" t="s">
        <v>39</v>
      </c>
      <c r="E94" s="616">
        <v>0</v>
      </c>
      <c r="F94" s="617">
        <f>+ROUND(C94*E94,2)</f>
        <v>0</v>
      </c>
      <c r="G94" s="618"/>
      <c r="H94" s="493"/>
    </row>
    <row r="95" spans="1:8" ht="20.45" customHeight="1">
      <c r="A95" s="504">
        <f t="shared" ref="A95:A98" si="20">+A94+0.01</f>
        <v>17.020000000000003</v>
      </c>
      <c r="B95" s="465" t="s">
        <v>1202</v>
      </c>
      <c r="C95" s="615">
        <v>9.6999999999999993</v>
      </c>
      <c r="D95" s="615" t="s">
        <v>91</v>
      </c>
      <c r="E95" s="616">
        <v>0</v>
      </c>
      <c r="F95" s="617">
        <f>+ROUND(C95*E95,2)</f>
        <v>0</v>
      </c>
      <c r="G95" s="618"/>
      <c r="H95" s="493"/>
    </row>
    <row r="96" spans="1:8" ht="20.45" customHeight="1">
      <c r="A96" s="504">
        <f t="shared" si="20"/>
        <v>17.030000000000005</v>
      </c>
      <c r="B96" s="465" t="s">
        <v>1153</v>
      </c>
      <c r="C96" s="615">
        <v>16.060000000000002</v>
      </c>
      <c r="D96" s="615" t="s">
        <v>39</v>
      </c>
      <c r="E96" s="616">
        <v>0</v>
      </c>
      <c r="F96" s="617">
        <f>+ROUND(C96*E96,2)</f>
        <v>0</v>
      </c>
      <c r="G96" s="618"/>
      <c r="H96" s="493"/>
    </row>
    <row r="97" spans="1:8" ht="20.45" customHeight="1">
      <c r="A97" s="504">
        <f t="shared" si="20"/>
        <v>17.040000000000006</v>
      </c>
      <c r="B97" s="465" t="s">
        <v>1192</v>
      </c>
      <c r="C97" s="615">
        <v>16.060000000000002</v>
      </c>
      <c r="D97" s="615" t="s">
        <v>39</v>
      </c>
      <c r="E97" s="616">
        <v>0</v>
      </c>
      <c r="F97" s="617">
        <f t="shared" ref="F97:F98" si="21">+ROUND(C97*E97,2)</f>
        <v>0</v>
      </c>
      <c r="G97" s="618"/>
      <c r="H97" s="493"/>
    </row>
    <row r="98" spans="1:8" ht="20.45" customHeight="1">
      <c r="A98" s="504">
        <f t="shared" si="20"/>
        <v>17.050000000000008</v>
      </c>
      <c r="B98" s="465" t="s">
        <v>1118</v>
      </c>
      <c r="C98" s="615">
        <v>17.100000000000001</v>
      </c>
      <c r="D98" s="615" t="s">
        <v>91</v>
      </c>
      <c r="E98" s="616">
        <v>0</v>
      </c>
      <c r="F98" s="617">
        <f t="shared" si="21"/>
        <v>0</v>
      </c>
      <c r="G98" s="620">
        <f>SUM(F94:F98)</f>
        <v>0</v>
      </c>
      <c r="H98" s="493"/>
    </row>
    <row r="99" spans="1:8" ht="20.45" customHeight="1">
      <c r="A99" s="520">
        <f>A93+1</f>
        <v>18</v>
      </c>
      <c r="B99" s="511" t="s">
        <v>1110</v>
      </c>
      <c r="C99" s="615"/>
      <c r="D99" s="615"/>
      <c r="E99" s="616"/>
      <c r="F99" s="617"/>
      <c r="G99" s="618"/>
      <c r="H99" s="475"/>
    </row>
    <row r="100" spans="1:8" ht="33.75" customHeight="1">
      <c r="A100" s="505">
        <f t="shared" ref="A100:A101" si="22">+A99+0.01</f>
        <v>18.010000000000002</v>
      </c>
      <c r="B100" s="465" t="s">
        <v>1136</v>
      </c>
      <c r="C100" s="615">
        <v>16</v>
      </c>
      <c r="D100" s="615" t="s">
        <v>16</v>
      </c>
      <c r="E100" s="616">
        <v>0</v>
      </c>
      <c r="F100" s="617">
        <f t="shared" ref="F100" si="23">+ROUND(C100*E100,2)</f>
        <v>0</v>
      </c>
      <c r="G100" s="620"/>
      <c r="H100" s="493"/>
    </row>
    <row r="101" spans="1:8" ht="20.45" customHeight="1">
      <c r="A101" s="504">
        <f t="shared" si="22"/>
        <v>18.020000000000003</v>
      </c>
      <c r="B101" s="498" t="s">
        <v>1160</v>
      </c>
      <c r="C101" s="615">
        <v>17.689999999999998</v>
      </c>
      <c r="D101" s="615" t="s">
        <v>91</v>
      </c>
      <c r="E101" s="616">
        <v>0</v>
      </c>
      <c r="F101" s="617">
        <f>+ROUND(C101*E101,2)</f>
        <v>0</v>
      </c>
      <c r="G101" s="620">
        <f>SUM(F100:F101)</f>
        <v>0</v>
      </c>
    </row>
    <row r="102" spans="1:8" ht="20.45" customHeight="1">
      <c r="A102" s="520">
        <f>A99+1</f>
        <v>19</v>
      </c>
      <c r="B102" s="511" t="s">
        <v>686</v>
      </c>
      <c r="C102" s="615"/>
      <c r="D102" s="615"/>
      <c r="E102" s="616"/>
      <c r="F102" s="617"/>
      <c r="G102" s="618"/>
      <c r="H102" s="475"/>
    </row>
    <row r="103" spans="1:8" ht="33.75" customHeight="1">
      <c r="A103" s="505">
        <f t="shared" ref="A103:A105" si="24">+A102+0.01</f>
        <v>19.010000000000002</v>
      </c>
      <c r="B103" s="465" t="s">
        <v>1165</v>
      </c>
      <c r="C103" s="615">
        <v>4</v>
      </c>
      <c r="D103" s="615" t="s">
        <v>16</v>
      </c>
      <c r="E103" s="616">
        <v>0</v>
      </c>
      <c r="F103" s="617">
        <f t="shared" ref="F103:F105" si="25">+ROUND(C103*E103,2)</f>
        <v>0</v>
      </c>
      <c r="G103" s="620"/>
      <c r="H103" s="493"/>
    </row>
    <row r="104" spans="1:8" ht="35.25" customHeight="1">
      <c r="A104" s="505">
        <f t="shared" si="24"/>
        <v>19.020000000000003</v>
      </c>
      <c r="B104" s="465" t="s">
        <v>1148</v>
      </c>
      <c r="C104" s="615">
        <v>53</v>
      </c>
      <c r="D104" s="615" t="s">
        <v>16</v>
      </c>
      <c r="E104" s="616">
        <v>0</v>
      </c>
      <c r="F104" s="617">
        <f>+ROUND(C104*E104,2)</f>
        <v>0</v>
      </c>
      <c r="G104" s="620"/>
      <c r="H104" s="493"/>
    </row>
    <row r="105" spans="1:8" ht="33.75" customHeight="1">
      <c r="A105" s="505">
        <f t="shared" si="24"/>
        <v>19.030000000000005</v>
      </c>
      <c r="B105" s="465" t="s">
        <v>1163</v>
      </c>
      <c r="C105" s="615">
        <v>1</v>
      </c>
      <c r="D105" s="615" t="s">
        <v>16</v>
      </c>
      <c r="E105" s="616">
        <v>0</v>
      </c>
      <c r="F105" s="617">
        <f t="shared" si="25"/>
        <v>0</v>
      </c>
      <c r="G105" s="620">
        <f>SUM(F103:F105)</f>
        <v>0</v>
      </c>
      <c r="H105" s="493"/>
    </row>
    <row r="106" spans="1:8" ht="20.45" customHeight="1">
      <c r="A106" s="504"/>
      <c r="B106" s="465"/>
      <c r="C106" s="615"/>
      <c r="D106" s="615"/>
      <c r="E106" s="623"/>
      <c r="F106" s="617"/>
      <c r="G106" s="620"/>
      <c r="H106" s="475"/>
    </row>
    <row r="107" spans="1:8" ht="20.45" customHeight="1">
      <c r="A107" s="520"/>
      <c r="B107" s="511" t="s">
        <v>1125</v>
      </c>
      <c r="C107" s="615"/>
      <c r="D107" s="615"/>
      <c r="E107" s="616"/>
      <c r="F107" s="617"/>
      <c r="G107" s="618"/>
      <c r="H107" s="475"/>
    </row>
    <row r="108" spans="1:8" ht="20.45" customHeight="1">
      <c r="A108" s="520"/>
      <c r="B108" s="511"/>
      <c r="C108" s="615"/>
      <c r="D108" s="615"/>
      <c r="E108" s="616"/>
      <c r="F108" s="617"/>
      <c r="G108" s="618"/>
      <c r="H108" s="475"/>
    </row>
    <row r="109" spans="1:8" ht="20.45" customHeight="1">
      <c r="A109" s="520">
        <f>A102+1</f>
        <v>20</v>
      </c>
      <c r="B109" s="511" t="s">
        <v>1107</v>
      </c>
      <c r="C109" s="615"/>
      <c r="D109" s="615"/>
      <c r="E109" s="616"/>
      <c r="F109" s="617"/>
      <c r="G109" s="618"/>
    </row>
    <row r="110" spans="1:8" ht="33" customHeight="1">
      <c r="A110" s="505">
        <f>+A109+0.01</f>
        <v>20.010000000000002</v>
      </c>
      <c r="B110" s="465" t="s">
        <v>1204</v>
      </c>
      <c r="C110" s="615">
        <v>2.6</v>
      </c>
      <c r="D110" s="615" t="s">
        <v>108</v>
      </c>
      <c r="E110" s="616">
        <v>0</v>
      </c>
      <c r="F110" s="617">
        <f>+ROUND(C110*E110,2)</f>
        <v>0</v>
      </c>
      <c r="G110" s="620"/>
      <c r="H110" s="493"/>
    </row>
    <row r="111" spans="1:8" ht="33" customHeight="1">
      <c r="A111" s="505">
        <f t="shared" ref="A111:A115" si="26">+A110+0.01</f>
        <v>20.020000000000003</v>
      </c>
      <c r="B111" s="465" t="s">
        <v>1186</v>
      </c>
      <c r="C111" s="615">
        <v>7.8</v>
      </c>
      <c r="D111" s="615" t="s">
        <v>108</v>
      </c>
      <c r="E111" s="616">
        <v>0</v>
      </c>
      <c r="F111" s="617">
        <f t="shared" ref="F111:F114" si="27">+ROUND(C111*E111,2)</f>
        <v>0</v>
      </c>
      <c r="G111" s="620"/>
      <c r="H111" s="493"/>
    </row>
    <row r="112" spans="1:8" ht="33" customHeight="1">
      <c r="A112" s="505">
        <f t="shared" si="26"/>
        <v>20.030000000000005</v>
      </c>
      <c r="B112" s="465" t="s">
        <v>1196</v>
      </c>
      <c r="C112" s="615">
        <v>0.6</v>
      </c>
      <c r="D112" s="615" t="s">
        <v>108</v>
      </c>
      <c r="E112" s="616">
        <v>0</v>
      </c>
      <c r="F112" s="617">
        <f>+ROUND(C112*E112,2)</f>
        <v>0</v>
      </c>
      <c r="G112" s="620"/>
      <c r="H112" s="493"/>
    </row>
    <row r="113" spans="1:8" ht="33" customHeight="1">
      <c r="A113" s="505">
        <f t="shared" si="26"/>
        <v>20.040000000000006</v>
      </c>
      <c r="B113" s="465" t="s">
        <v>1188</v>
      </c>
      <c r="C113" s="615">
        <v>0.24</v>
      </c>
      <c r="D113" s="615" t="s">
        <v>108</v>
      </c>
      <c r="E113" s="616">
        <v>0</v>
      </c>
      <c r="F113" s="617">
        <f>+ROUND(C113*E113,2)</f>
        <v>0</v>
      </c>
      <c r="G113" s="620"/>
      <c r="H113" s="493"/>
    </row>
    <row r="114" spans="1:8" ht="31.5" customHeight="1">
      <c r="A114" s="505">
        <f t="shared" si="26"/>
        <v>20.050000000000008</v>
      </c>
      <c r="B114" s="465" t="s">
        <v>1157</v>
      </c>
      <c r="C114" s="615">
        <v>0.47</v>
      </c>
      <c r="D114" s="615" t="s">
        <v>108</v>
      </c>
      <c r="E114" s="616">
        <v>0</v>
      </c>
      <c r="F114" s="617">
        <f t="shared" si="27"/>
        <v>0</v>
      </c>
      <c r="G114" s="620"/>
      <c r="H114" s="493"/>
    </row>
    <row r="115" spans="1:8" ht="33.75" customHeight="1">
      <c r="A115" s="505">
        <f t="shared" si="26"/>
        <v>20.060000000000009</v>
      </c>
      <c r="B115" s="465" t="s">
        <v>1206</v>
      </c>
      <c r="C115" s="615">
        <v>5.14</v>
      </c>
      <c r="D115" s="615" t="s">
        <v>108</v>
      </c>
      <c r="E115" s="616">
        <v>0</v>
      </c>
      <c r="F115" s="617">
        <f t="shared" ref="F115" si="28">+ROUND(C115*E115,2)</f>
        <v>0</v>
      </c>
      <c r="G115" s="620">
        <f>SUM(F110:F115)</f>
        <v>0</v>
      </c>
      <c r="H115" s="494"/>
    </row>
    <row r="116" spans="1:8" ht="20.45" customHeight="1">
      <c r="A116" s="520">
        <f>+A109+1</f>
        <v>21</v>
      </c>
      <c r="B116" s="511" t="s">
        <v>1124</v>
      </c>
      <c r="C116" s="615"/>
      <c r="D116" s="615"/>
      <c r="E116" s="616"/>
      <c r="F116" s="617"/>
      <c r="G116" s="618"/>
      <c r="H116" s="540"/>
    </row>
    <row r="117" spans="1:8" ht="31.5" customHeight="1">
      <c r="A117" s="505">
        <f>+A116+0.01</f>
        <v>21.01</v>
      </c>
      <c r="B117" s="465" t="s">
        <v>1150</v>
      </c>
      <c r="C117" s="615">
        <v>23.56</v>
      </c>
      <c r="D117" s="615" t="s">
        <v>39</v>
      </c>
      <c r="E117" s="616">
        <v>0</v>
      </c>
      <c r="F117" s="617">
        <f>+ROUND(C117*E117,2)</f>
        <v>0</v>
      </c>
      <c r="G117" s="620"/>
      <c r="H117" s="493"/>
    </row>
    <row r="118" spans="1:8" ht="33.75" customHeight="1">
      <c r="A118" s="505">
        <f>+A117+0.01</f>
        <v>21.020000000000003</v>
      </c>
      <c r="B118" s="465" t="s">
        <v>1151</v>
      </c>
      <c r="C118" s="615">
        <v>33.020000000000003</v>
      </c>
      <c r="D118" s="615" t="s">
        <v>39</v>
      </c>
      <c r="E118" s="616">
        <v>0</v>
      </c>
      <c r="F118" s="617">
        <f>+ROUND(C118*E118,2)</f>
        <v>0</v>
      </c>
      <c r="G118" s="620">
        <f>SUM(F117:F118)</f>
        <v>0</v>
      </c>
      <c r="H118" s="493"/>
    </row>
    <row r="119" spans="1:8" ht="20.45" customHeight="1">
      <c r="A119" s="520">
        <f>A116+1</f>
        <v>22</v>
      </c>
      <c r="B119" s="511" t="s">
        <v>480</v>
      </c>
      <c r="C119" s="615"/>
      <c r="D119" s="615"/>
      <c r="E119" s="616"/>
      <c r="F119" s="617"/>
      <c r="G119" s="618"/>
    </row>
    <row r="120" spans="1:8" ht="20.45" customHeight="1">
      <c r="A120" s="504">
        <f>+A119+0.01</f>
        <v>22.01</v>
      </c>
      <c r="B120" s="468" t="s">
        <v>1147</v>
      </c>
      <c r="C120" s="615">
        <v>91.76</v>
      </c>
      <c r="D120" s="615" t="s">
        <v>39</v>
      </c>
      <c r="E120" s="616">
        <v>0</v>
      </c>
      <c r="F120" s="617">
        <f t="shared" ref="F120" si="29">+ROUND(C120*E120,2)</f>
        <v>0</v>
      </c>
      <c r="G120" s="618"/>
      <c r="H120" s="493"/>
    </row>
    <row r="121" spans="1:8" ht="20.45" customHeight="1">
      <c r="A121" s="504">
        <f t="shared" ref="A121:A128" si="30">+A120+0.01</f>
        <v>22.020000000000003</v>
      </c>
      <c r="B121" s="468" t="s">
        <v>1190</v>
      </c>
      <c r="C121" s="615">
        <v>57.79</v>
      </c>
      <c r="D121" s="615" t="s">
        <v>39</v>
      </c>
      <c r="E121" s="616">
        <v>0</v>
      </c>
      <c r="F121" s="617">
        <f t="shared" ref="F121:F128" si="31">+ROUND(C121*E121,2)</f>
        <v>0</v>
      </c>
      <c r="G121" s="618"/>
      <c r="H121" s="494"/>
    </row>
    <row r="122" spans="1:8" ht="20.45" customHeight="1">
      <c r="A122" s="504">
        <f t="shared" si="30"/>
        <v>22.030000000000005</v>
      </c>
      <c r="B122" s="468" t="s">
        <v>1116</v>
      </c>
      <c r="C122" s="615">
        <v>38.58</v>
      </c>
      <c r="D122" s="615" t="s">
        <v>39</v>
      </c>
      <c r="E122" s="616">
        <v>0</v>
      </c>
      <c r="F122" s="617">
        <f t="shared" si="31"/>
        <v>0</v>
      </c>
      <c r="G122" s="620"/>
    </row>
    <row r="123" spans="1:8" ht="20.45" customHeight="1">
      <c r="A123" s="504">
        <f t="shared" si="30"/>
        <v>22.040000000000006</v>
      </c>
      <c r="B123" s="468" t="s">
        <v>1146</v>
      </c>
      <c r="C123" s="615">
        <v>33.97</v>
      </c>
      <c r="D123" s="615" t="s">
        <v>39</v>
      </c>
      <c r="E123" s="616">
        <v>0</v>
      </c>
      <c r="F123" s="617">
        <f t="shared" si="31"/>
        <v>0</v>
      </c>
      <c r="G123" s="618"/>
      <c r="H123" s="493"/>
    </row>
    <row r="124" spans="1:8" ht="20.45" customHeight="1">
      <c r="A124" s="504">
        <f t="shared" si="30"/>
        <v>22.050000000000008</v>
      </c>
      <c r="B124" s="468" t="s">
        <v>1117</v>
      </c>
      <c r="C124" s="615">
        <v>203.95999999999998</v>
      </c>
      <c r="D124" s="615" t="s">
        <v>91</v>
      </c>
      <c r="E124" s="616">
        <v>0</v>
      </c>
      <c r="F124" s="617">
        <f t="shared" si="31"/>
        <v>0</v>
      </c>
      <c r="G124" s="620">
        <f>SUM(F120:F124)</f>
        <v>0</v>
      </c>
    </row>
    <row r="125" spans="1:8" ht="20.45" customHeight="1">
      <c r="A125" s="520">
        <f>A119+1</f>
        <v>23</v>
      </c>
      <c r="B125" s="511" t="s">
        <v>1200</v>
      </c>
      <c r="C125" s="615"/>
      <c r="D125" s="615"/>
      <c r="E125" s="616"/>
      <c r="F125" s="617"/>
      <c r="G125" s="618"/>
    </row>
    <row r="126" spans="1:8" ht="20.45" customHeight="1">
      <c r="A126" s="504">
        <f>+A125+0.01</f>
        <v>23.01</v>
      </c>
      <c r="B126" s="468" t="s">
        <v>1130</v>
      </c>
      <c r="C126" s="615">
        <v>82.559999999999988</v>
      </c>
      <c r="D126" s="615" t="s">
        <v>91</v>
      </c>
      <c r="E126" s="616">
        <v>0</v>
      </c>
      <c r="F126" s="617">
        <f t="shared" si="31"/>
        <v>0</v>
      </c>
      <c r="G126" s="620"/>
      <c r="H126" s="494"/>
    </row>
    <row r="127" spans="1:8" ht="32.25" customHeight="1">
      <c r="A127" s="505">
        <f t="shared" si="30"/>
        <v>23.020000000000003</v>
      </c>
      <c r="B127" s="465" t="s">
        <v>1137</v>
      </c>
      <c r="C127" s="615">
        <v>33.97</v>
      </c>
      <c r="D127" s="615" t="s">
        <v>39</v>
      </c>
      <c r="E127" s="616">
        <v>0</v>
      </c>
      <c r="F127" s="617">
        <f t="shared" si="31"/>
        <v>0</v>
      </c>
      <c r="G127" s="620"/>
      <c r="H127" s="494"/>
    </row>
    <row r="128" spans="1:8" ht="33.75" customHeight="1">
      <c r="A128" s="504">
        <f t="shared" si="30"/>
        <v>23.030000000000005</v>
      </c>
      <c r="B128" s="465" t="s">
        <v>1205</v>
      </c>
      <c r="C128" s="615">
        <v>33.97</v>
      </c>
      <c r="D128" s="615" t="s">
        <v>39</v>
      </c>
      <c r="E128" s="616">
        <v>0</v>
      </c>
      <c r="F128" s="617">
        <f t="shared" si="31"/>
        <v>0</v>
      </c>
      <c r="G128" s="620">
        <f>SUM(F126:F128)</f>
        <v>0</v>
      </c>
      <c r="H128" s="493"/>
    </row>
    <row r="129" spans="1:8" ht="20.45" customHeight="1">
      <c r="A129" s="520">
        <f>A125+1</f>
        <v>24</v>
      </c>
      <c r="B129" s="511" t="s">
        <v>1145</v>
      </c>
      <c r="C129" s="615"/>
      <c r="D129" s="615"/>
      <c r="E129" s="616"/>
      <c r="F129" s="617"/>
      <c r="G129" s="618"/>
    </row>
    <row r="130" spans="1:8" ht="20.45" customHeight="1">
      <c r="A130" s="504">
        <f>+A129+0.01</f>
        <v>24.01</v>
      </c>
      <c r="B130" s="468" t="s">
        <v>1197</v>
      </c>
      <c r="C130" s="615">
        <v>13.84</v>
      </c>
      <c r="D130" s="615" t="s">
        <v>91</v>
      </c>
      <c r="E130" s="616">
        <v>0</v>
      </c>
      <c r="F130" s="617">
        <f>+ROUND(C130*E130,2)</f>
        <v>0</v>
      </c>
      <c r="G130" s="618"/>
      <c r="H130" s="494"/>
    </row>
    <row r="131" spans="1:8" ht="20.45" customHeight="1">
      <c r="A131" s="504">
        <f>+A130+0.01</f>
        <v>24.020000000000003</v>
      </c>
      <c r="B131" s="468" t="s">
        <v>1198</v>
      </c>
      <c r="C131" s="615">
        <v>3.92</v>
      </c>
      <c r="D131" s="615" t="s">
        <v>438</v>
      </c>
      <c r="E131" s="616">
        <v>0</v>
      </c>
      <c r="F131" s="617">
        <f t="shared" ref="F131" si="32">+ROUND(C131*E131,2)</f>
        <v>0</v>
      </c>
      <c r="G131" s="620">
        <f>SUM(F130:F131)</f>
        <v>0</v>
      </c>
      <c r="H131" s="494"/>
    </row>
    <row r="132" spans="1:8" ht="20.45" customHeight="1">
      <c r="A132" s="520">
        <f>A129+1</f>
        <v>25</v>
      </c>
      <c r="B132" s="511" t="s">
        <v>1191</v>
      </c>
      <c r="C132" s="615"/>
      <c r="D132" s="615"/>
      <c r="E132" s="616"/>
      <c r="F132" s="617"/>
      <c r="G132" s="618"/>
    </row>
    <row r="133" spans="1:8" ht="20.45" customHeight="1">
      <c r="A133" s="504">
        <f>+A132+0.01</f>
        <v>25.01</v>
      </c>
      <c r="B133" s="468" t="s">
        <v>1129</v>
      </c>
      <c r="C133" s="615">
        <v>129.1</v>
      </c>
      <c r="D133" s="615" t="s">
        <v>39</v>
      </c>
      <c r="E133" s="616">
        <v>0</v>
      </c>
      <c r="F133" s="617">
        <f>+ROUND(C133*E133,2)</f>
        <v>0</v>
      </c>
      <c r="G133" s="618"/>
      <c r="H133" s="494"/>
    </row>
    <row r="134" spans="1:8" ht="30" customHeight="1">
      <c r="A134" s="505">
        <f>+A133+0.01</f>
        <v>25.020000000000003</v>
      </c>
      <c r="B134" s="465" t="s">
        <v>1127</v>
      </c>
      <c r="C134" s="615">
        <v>91.76</v>
      </c>
      <c r="D134" s="615" t="s">
        <v>39</v>
      </c>
      <c r="E134" s="616">
        <v>0</v>
      </c>
      <c r="F134" s="617">
        <f t="shared" ref="F134:F135" si="33">+ROUND(C134*E134,2)</f>
        <v>0</v>
      </c>
      <c r="G134" s="620"/>
      <c r="H134" s="493"/>
    </row>
    <row r="135" spans="1:8" ht="30" customHeight="1">
      <c r="A135" s="505">
        <f>+A134+0.01</f>
        <v>25.030000000000005</v>
      </c>
      <c r="B135" s="465" t="s">
        <v>1128</v>
      </c>
      <c r="C135" s="615">
        <v>37.340000000000003</v>
      </c>
      <c r="D135" s="615" t="s">
        <v>39</v>
      </c>
      <c r="E135" s="616">
        <v>0</v>
      </c>
      <c r="F135" s="617">
        <f t="shared" si="33"/>
        <v>0</v>
      </c>
      <c r="G135" s="620">
        <f>SUM(F133:F135)</f>
        <v>0</v>
      </c>
      <c r="H135" s="493"/>
    </row>
    <row r="136" spans="1:8" ht="20.45" customHeight="1">
      <c r="A136" s="520">
        <f>A132+1</f>
        <v>26</v>
      </c>
      <c r="B136" s="511" t="s">
        <v>1109</v>
      </c>
      <c r="C136" s="615"/>
      <c r="D136" s="615"/>
      <c r="E136" s="616"/>
      <c r="F136" s="617"/>
      <c r="G136" s="618"/>
    </row>
    <row r="137" spans="1:8" ht="20.45" customHeight="1">
      <c r="A137" s="504">
        <f t="shared" ref="A137:A141" si="34">+A136+0.01</f>
        <v>26.01</v>
      </c>
      <c r="B137" s="468" t="s">
        <v>1154</v>
      </c>
      <c r="C137" s="615">
        <v>2.6599999999999997</v>
      </c>
      <c r="D137" s="615" t="s">
        <v>39</v>
      </c>
      <c r="E137" s="616">
        <v>0</v>
      </c>
      <c r="F137" s="617">
        <f>+ROUND(C137*E137,2)</f>
        <v>0</v>
      </c>
      <c r="G137" s="618"/>
      <c r="H137" s="494"/>
    </row>
    <row r="138" spans="1:8" ht="20.45" customHeight="1">
      <c r="A138" s="504">
        <f t="shared" si="34"/>
        <v>26.020000000000003</v>
      </c>
      <c r="B138" s="465" t="s">
        <v>1202</v>
      </c>
      <c r="C138" s="615">
        <v>9.6999999999999993</v>
      </c>
      <c r="D138" s="615" t="s">
        <v>91</v>
      </c>
      <c r="E138" s="616">
        <v>0</v>
      </c>
      <c r="F138" s="617">
        <f>+ROUND(C138*E138,2)</f>
        <v>0</v>
      </c>
      <c r="G138" s="618"/>
      <c r="H138" s="493"/>
    </row>
    <row r="139" spans="1:8" ht="20.45" customHeight="1">
      <c r="A139" s="504">
        <f t="shared" si="34"/>
        <v>26.030000000000005</v>
      </c>
      <c r="B139" s="468" t="s">
        <v>1153</v>
      </c>
      <c r="C139" s="615">
        <v>7.53</v>
      </c>
      <c r="D139" s="615" t="s">
        <v>39</v>
      </c>
      <c r="E139" s="616">
        <v>0</v>
      </c>
      <c r="F139" s="617">
        <f>+ROUND(C139*E139,2)</f>
        <v>0</v>
      </c>
      <c r="G139" s="618"/>
      <c r="H139" s="494"/>
    </row>
    <row r="140" spans="1:8" ht="20.45" customHeight="1">
      <c r="A140" s="504">
        <f t="shared" si="34"/>
        <v>26.040000000000006</v>
      </c>
      <c r="B140" s="465" t="s">
        <v>1192</v>
      </c>
      <c r="C140" s="615">
        <v>7.53</v>
      </c>
      <c r="D140" s="615" t="s">
        <v>39</v>
      </c>
      <c r="E140" s="616">
        <v>0</v>
      </c>
      <c r="F140" s="617">
        <f t="shared" ref="F140:F141" si="35">+ROUND(C140*E140,2)</f>
        <v>0</v>
      </c>
      <c r="G140" s="618"/>
      <c r="H140" s="494"/>
    </row>
    <row r="141" spans="1:8" ht="20.45" customHeight="1">
      <c r="A141" s="504">
        <f t="shared" si="34"/>
        <v>26.050000000000008</v>
      </c>
      <c r="B141" s="468" t="s">
        <v>1118</v>
      </c>
      <c r="C141" s="615">
        <v>13.299999999999999</v>
      </c>
      <c r="D141" s="615" t="s">
        <v>91</v>
      </c>
      <c r="E141" s="616">
        <v>0</v>
      </c>
      <c r="F141" s="617">
        <f t="shared" si="35"/>
        <v>0</v>
      </c>
      <c r="G141" s="620">
        <f>SUM(F137:F141)</f>
        <v>0</v>
      </c>
      <c r="H141" s="494"/>
    </row>
    <row r="142" spans="1:8" ht="20.45" customHeight="1">
      <c r="A142" s="520">
        <f>+A136+1</f>
        <v>27</v>
      </c>
      <c r="B142" s="511" t="s">
        <v>1108</v>
      </c>
      <c r="C142" s="615"/>
      <c r="D142" s="615"/>
      <c r="E142" s="616"/>
      <c r="F142" s="617"/>
      <c r="G142" s="618"/>
    </row>
    <row r="143" spans="1:8" ht="30" customHeight="1">
      <c r="A143" s="505">
        <f t="shared" ref="A143:A148" si="36">+A142+0.01</f>
        <v>27.01</v>
      </c>
      <c r="B143" s="465" t="s">
        <v>1173</v>
      </c>
      <c r="C143" s="615">
        <v>2.76</v>
      </c>
      <c r="D143" s="615" t="s">
        <v>39</v>
      </c>
      <c r="E143" s="619">
        <v>0</v>
      </c>
      <c r="F143" s="617">
        <f t="shared" ref="F143:F144" si="37">+ROUND(C143*E143,2)</f>
        <v>0</v>
      </c>
      <c r="G143" s="620"/>
      <c r="H143" s="493"/>
    </row>
    <row r="144" spans="1:8" ht="30" customHeight="1">
      <c r="A144" s="505">
        <f t="shared" si="36"/>
        <v>27.020000000000003</v>
      </c>
      <c r="B144" s="465" t="s">
        <v>1174</v>
      </c>
      <c r="C144" s="615">
        <v>8.7399999999999984</v>
      </c>
      <c r="D144" s="615" t="s">
        <v>39</v>
      </c>
      <c r="E144" s="619">
        <v>0</v>
      </c>
      <c r="F144" s="617">
        <f t="shared" si="37"/>
        <v>0</v>
      </c>
      <c r="G144" s="620">
        <f>SUM(F143:F144)</f>
        <v>0</v>
      </c>
      <c r="H144" s="493"/>
    </row>
    <row r="145" spans="1:8" ht="20.45" customHeight="1">
      <c r="A145" s="520">
        <f>A142+1</f>
        <v>28</v>
      </c>
      <c r="B145" s="511" t="s">
        <v>1110</v>
      </c>
      <c r="C145" s="615"/>
      <c r="D145" s="615"/>
      <c r="E145" s="616"/>
      <c r="F145" s="617"/>
      <c r="G145" s="618"/>
      <c r="H145" s="475"/>
    </row>
    <row r="146" spans="1:8" ht="30" customHeight="1">
      <c r="A146" s="505">
        <f t="shared" si="36"/>
        <v>28.01</v>
      </c>
      <c r="B146" s="465" t="s">
        <v>1194</v>
      </c>
      <c r="C146" s="615">
        <v>4</v>
      </c>
      <c r="D146" s="615" t="s">
        <v>16</v>
      </c>
      <c r="E146" s="616">
        <v>0</v>
      </c>
      <c r="F146" s="617">
        <f t="shared" ref="F146" si="38">+ROUND(C146*E146,2)</f>
        <v>0</v>
      </c>
      <c r="G146" s="620"/>
      <c r="H146" s="493"/>
    </row>
    <row r="147" spans="1:8" ht="20.45" customHeight="1">
      <c r="A147" s="504">
        <f t="shared" si="36"/>
        <v>28.020000000000003</v>
      </c>
      <c r="B147" s="468" t="s">
        <v>1162</v>
      </c>
      <c r="C147" s="615">
        <v>20.299999999999997</v>
      </c>
      <c r="D147" s="615" t="s">
        <v>91</v>
      </c>
      <c r="E147" s="616">
        <v>0</v>
      </c>
      <c r="F147" s="617">
        <f>+ROUND(C147*E147,2)</f>
        <v>0</v>
      </c>
      <c r="G147" s="620"/>
    </row>
    <row r="148" spans="1:8" ht="33" customHeight="1">
      <c r="A148" s="505">
        <f t="shared" si="36"/>
        <v>28.030000000000005</v>
      </c>
      <c r="B148" s="465" t="s">
        <v>1149</v>
      </c>
      <c r="C148" s="615">
        <v>22.76</v>
      </c>
      <c r="D148" s="615" t="s">
        <v>91</v>
      </c>
      <c r="E148" s="619">
        <v>0</v>
      </c>
      <c r="F148" s="617">
        <f t="shared" ref="F148" si="39">+ROUND(C148*E148,2)</f>
        <v>0</v>
      </c>
      <c r="G148" s="620">
        <f>SUM(F146:F148)</f>
        <v>0</v>
      </c>
      <c r="H148" s="493"/>
    </row>
    <row r="149" spans="1:8" ht="20.45" customHeight="1">
      <c r="A149" s="520">
        <f>A145+1</f>
        <v>29</v>
      </c>
      <c r="B149" s="511" t="s">
        <v>686</v>
      </c>
      <c r="C149" s="615"/>
      <c r="D149" s="615"/>
      <c r="E149" s="616"/>
      <c r="F149" s="617"/>
      <c r="G149" s="618"/>
      <c r="H149" s="475"/>
    </row>
    <row r="150" spans="1:8" ht="33.75" customHeight="1">
      <c r="A150" s="505">
        <f t="shared" ref="A150:A152" si="40">+A149+0.01</f>
        <v>29.01</v>
      </c>
      <c r="B150" s="465" t="s">
        <v>1165</v>
      </c>
      <c r="C150" s="615">
        <v>2</v>
      </c>
      <c r="D150" s="615" t="s">
        <v>16</v>
      </c>
      <c r="E150" s="616">
        <v>0</v>
      </c>
      <c r="F150" s="617">
        <f t="shared" ref="F150:F152" si="41">+ROUND(C150*E150,2)</f>
        <v>0</v>
      </c>
      <c r="G150" s="620"/>
      <c r="H150" s="493"/>
    </row>
    <row r="151" spans="1:8" ht="31.5" customHeight="1">
      <c r="A151" s="505">
        <f t="shared" si="40"/>
        <v>29.020000000000003</v>
      </c>
      <c r="B151" s="465" t="s">
        <v>1148</v>
      </c>
      <c r="C151" s="615">
        <v>19</v>
      </c>
      <c r="D151" s="615" t="s">
        <v>16</v>
      </c>
      <c r="E151" s="616">
        <v>0</v>
      </c>
      <c r="F151" s="617">
        <f t="shared" si="41"/>
        <v>0</v>
      </c>
      <c r="G151" s="620"/>
      <c r="H151" s="493"/>
    </row>
    <row r="152" spans="1:8" ht="30" customHeight="1">
      <c r="A152" s="505">
        <f t="shared" si="40"/>
        <v>29.030000000000005</v>
      </c>
      <c r="B152" s="465" t="s">
        <v>1163</v>
      </c>
      <c r="C152" s="615">
        <v>1</v>
      </c>
      <c r="D152" s="615" t="s">
        <v>16</v>
      </c>
      <c r="E152" s="616">
        <v>0</v>
      </c>
      <c r="F152" s="617">
        <f t="shared" si="41"/>
        <v>0</v>
      </c>
      <c r="G152" s="620">
        <f>SUM(F150:F152)</f>
        <v>0</v>
      </c>
      <c r="H152" s="493"/>
    </row>
    <row r="153" spans="1:8" ht="20.45" customHeight="1">
      <c r="A153" s="504"/>
      <c r="B153" s="465"/>
      <c r="C153" s="615"/>
      <c r="D153" s="615"/>
      <c r="E153" s="616"/>
      <c r="F153" s="617"/>
      <c r="G153" s="620"/>
      <c r="H153" s="475"/>
    </row>
    <row r="154" spans="1:8" ht="20.45" customHeight="1">
      <c r="A154" s="520"/>
      <c r="B154" s="511" t="s">
        <v>1126</v>
      </c>
      <c r="C154" s="615"/>
      <c r="D154" s="615"/>
      <c r="E154" s="616"/>
      <c r="F154" s="617"/>
      <c r="G154" s="618"/>
      <c r="H154" s="475"/>
    </row>
    <row r="155" spans="1:8" ht="20.45" customHeight="1">
      <c r="A155" s="520"/>
      <c r="B155" s="511"/>
      <c r="C155" s="615"/>
      <c r="D155" s="615"/>
      <c r="E155" s="616"/>
      <c r="F155" s="617"/>
      <c r="G155" s="618"/>
      <c r="H155" s="475"/>
    </row>
    <row r="156" spans="1:8" ht="37.5" customHeight="1">
      <c r="A156" s="521">
        <f>A149+1</f>
        <v>30</v>
      </c>
      <c r="B156" s="511" t="s">
        <v>1172</v>
      </c>
      <c r="C156" s="615"/>
      <c r="D156" s="615"/>
      <c r="E156" s="616"/>
      <c r="F156" s="617"/>
      <c r="G156" s="618"/>
    </row>
    <row r="157" spans="1:8" ht="20.45" customHeight="1">
      <c r="A157" s="504">
        <f>+A156+0.01</f>
        <v>30.01</v>
      </c>
      <c r="B157" s="468" t="s">
        <v>1147</v>
      </c>
      <c r="C157" s="615">
        <v>10</v>
      </c>
      <c r="D157" s="615" t="s">
        <v>39</v>
      </c>
      <c r="E157" s="616">
        <v>0</v>
      </c>
      <c r="F157" s="617">
        <f t="shared" ref="F157" si="42">+ROUND(C157*E157,2)</f>
        <v>0</v>
      </c>
      <c r="G157" s="618"/>
      <c r="H157" s="493"/>
    </row>
    <row r="158" spans="1:8" ht="20.45" customHeight="1">
      <c r="A158" s="504">
        <f>+A157+0.01</f>
        <v>30.020000000000003</v>
      </c>
      <c r="B158" s="468" t="s">
        <v>1171</v>
      </c>
      <c r="C158" s="615">
        <v>10</v>
      </c>
      <c r="D158" s="615" t="s">
        <v>39</v>
      </c>
      <c r="E158" s="616">
        <v>0</v>
      </c>
      <c r="F158" s="617">
        <f t="shared" ref="F158" si="43">+ROUND(C158*E158,2)</f>
        <v>0</v>
      </c>
      <c r="G158" s="620">
        <f>SUM(F157:F158)</f>
        <v>0</v>
      </c>
    </row>
    <row r="159" spans="1:8" ht="20.45" customHeight="1">
      <c r="A159" s="520">
        <f>A156+1</f>
        <v>31</v>
      </c>
      <c r="B159" s="511" t="s">
        <v>1110</v>
      </c>
      <c r="C159" s="615"/>
      <c r="D159" s="615"/>
      <c r="E159" s="616"/>
      <c r="F159" s="617"/>
      <c r="G159" s="618"/>
    </row>
    <row r="160" spans="1:8" ht="20.45" customHeight="1">
      <c r="A160" s="504">
        <f t="shared" ref="A160:A179" si="44">+A159+0.01</f>
        <v>31.01</v>
      </c>
      <c r="B160" s="468" t="s">
        <v>1131</v>
      </c>
      <c r="C160" s="615">
        <v>43.52</v>
      </c>
      <c r="D160" s="615" t="s">
        <v>39</v>
      </c>
      <c r="E160" s="616">
        <v>0</v>
      </c>
      <c r="F160" s="617">
        <f t="shared" ref="F160:F164" si="45">+ROUND(C160*E160,2)</f>
        <v>0</v>
      </c>
      <c r="G160" s="618"/>
    </row>
    <row r="161" spans="1:8" ht="30" customHeight="1">
      <c r="A161" s="505">
        <f t="shared" si="44"/>
        <v>31.020000000000003</v>
      </c>
      <c r="B161" s="465" t="s">
        <v>1199</v>
      </c>
      <c r="C161" s="615">
        <v>26</v>
      </c>
      <c r="D161" s="615" t="s">
        <v>91</v>
      </c>
      <c r="E161" s="616">
        <v>0</v>
      </c>
      <c r="F161" s="617">
        <f t="shared" si="45"/>
        <v>0</v>
      </c>
      <c r="G161" s="620"/>
      <c r="H161" s="493"/>
    </row>
    <row r="162" spans="1:8" ht="20.45" customHeight="1">
      <c r="A162" s="504">
        <f t="shared" si="44"/>
        <v>31.030000000000005</v>
      </c>
      <c r="B162" s="468" t="s">
        <v>1166</v>
      </c>
      <c r="C162" s="615">
        <v>1</v>
      </c>
      <c r="D162" s="615" t="s">
        <v>2</v>
      </c>
      <c r="E162" s="616">
        <v>0</v>
      </c>
      <c r="F162" s="617">
        <f t="shared" ref="F162" si="46">+ROUND(C162*E162,2)</f>
        <v>0</v>
      </c>
      <c r="G162" s="620"/>
    </row>
    <row r="163" spans="1:8" ht="36" customHeight="1">
      <c r="A163" s="505">
        <f t="shared" si="44"/>
        <v>31.040000000000006</v>
      </c>
      <c r="B163" s="468" t="s">
        <v>1167</v>
      </c>
      <c r="C163" s="615">
        <v>94</v>
      </c>
      <c r="D163" s="615" t="s">
        <v>16</v>
      </c>
      <c r="E163" s="616">
        <v>0</v>
      </c>
      <c r="F163" s="617">
        <f t="shared" ref="F163" si="47">+ROUND(C163*E163,2)</f>
        <v>0</v>
      </c>
      <c r="G163" s="620"/>
    </row>
    <row r="164" spans="1:8" ht="50.25" customHeight="1">
      <c r="A164" s="505">
        <f t="shared" si="44"/>
        <v>31.050000000000008</v>
      </c>
      <c r="B164" s="465" t="s">
        <v>1164</v>
      </c>
      <c r="C164" s="615">
        <v>1</v>
      </c>
      <c r="D164" s="615" t="s">
        <v>2</v>
      </c>
      <c r="E164" s="616">
        <v>0</v>
      </c>
      <c r="F164" s="617">
        <f t="shared" si="45"/>
        <v>0</v>
      </c>
      <c r="G164" s="620">
        <f>SUM(F160:F164)</f>
        <v>0</v>
      </c>
      <c r="H164" s="493"/>
    </row>
    <row r="165" spans="1:8" ht="20.45" customHeight="1">
      <c r="A165" s="504"/>
      <c r="B165" s="465"/>
      <c r="C165" s="615"/>
      <c r="D165" s="615"/>
      <c r="E165" s="616"/>
      <c r="F165" s="617"/>
      <c r="G165" s="620"/>
    </row>
    <row r="166" spans="1:8" ht="20.45" customHeight="1">
      <c r="A166" s="520"/>
      <c r="B166" s="511" t="s">
        <v>1135</v>
      </c>
      <c r="C166" s="615"/>
      <c r="D166" s="615"/>
      <c r="E166" s="616"/>
      <c r="F166" s="617"/>
      <c r="G166" s="618"/>
      <c r="H166" s="475"/>
    </row>
    <row r="167" spans="1:8" ht="20.45" customHeight="1">
      <c r="A167" s="522"/>
      <c r="B167" s="624"/>
      <c r="C167" s="615"/>
      <c r="D167" s="615"/>
      <c r="E167" s="625"/>
      <c r="F167" s="626"/>
      <c r="G167" s="627"/>
      <c r="H167" s="475"/>
    </row>
    <row r="168" spans="1:8" ht="20.45" customHeight="1">
      <c r="A168" s="520">
        <f>A159+1</f>
        <v>32</v>
      </c>
      <c r="B168" s="511" t="s">
        <v>1110</v>
      </c>
      <c r="C168" s="615"/>
      <c r="D168" s="615"/>
      <c r="E168" s="616"/>
      <c r="F168" s="617"/>
      <c r="G168" s="618"/>
    </row>
    <row r="169" spans="1:8" ht="33" customHeight="1">
      <c r="A169" s="505">
        <f>+A168+0.01</f>
        <v>32.01</v>
      </c>
      <c r="B169" s="465" t="s">
        <v>1177</v>
      </c>
      <c r="C169" s="615">
        <v>17.47</v>
      </c>
      <c r="D169" s="615" t="s">
        <v>91</v>
      </c>
      <c r="E169" s="628">
        <v>0</v>
      </c>
      <c r="F169" s="617">
        <f t="shared" ref="F169:F171" si="48">+ROUND(C169*E169,2)</f>
        <v>0</v>
      </c>
      <c r="G169" s="620"/>
    </row>
    <row r="170" spans="1:8" ht="33" customHeight="1">
      <c r="A170" s="505">
        <f>+A169+0.01</f>
        <v>32.019999999999996</v>
      </c>
      <c r="B170" s="465" t="s">
        <v>1178</v>
      </c>
      <c r="C170" s="615">
        <v>5.2</v>
      </c>
      <c r="D170" s="615" t="s">
        <v>91</v>
      </c>
      <c r="E170" s="628">
        <v>0</v>
      </c>
      <c r="F170" s="617">
        <f t="shared" si="48"/>
        <v>0</v>
      </c>
      <c r="G170" s="620"/>
    </row>
    <row r="171" spans="1:8" ht="33" customHeight="1">
      <c r="A171" s="505">
        <f t="shared" ref="A171:A174" si="49">+A170+0.01</f>
        <v>32.029999999999994</v>
      </c>
      <c r="B171" s="465" t="s">
        <v>1179</v>
      </c>
      <c r="C171" s="615">
        <v>2.9700000000000006</v>
      </c>
      <c r="D171" s="615" t="s">
        <v>91</v>
      </c>
      <c r="E171" s="628">
        <v>0</v>
      </c>
      <c r="F171" s="617">
        <f t="shared" si="48"/>
        <v>0</v>
      </c>
      <c r="G171" s="620"/>
    </row>
    <row r="172" spans="1:8" ht="33" customHeight="1">
      <c r="A172" s="505">
        <f t="shared" si="49"/>
        <v>32.039999999999992</v>
      </c>
      <c r="B172" s="465" t="s">
        <v>1180</v>
      </c>
      <c r="C172" s="615">
        <v>2</v>
      </c>
      <c r="D172" s="615" t="s">
        <v>16</v>
      </c>
      <c r="E172" s="628">
        <v>0</v>
      </c>
      <c r="F172" s="617">
        <f t="shared" ref="F172:F173" si="50">+ROUND(C172*E172,2)</f>
        <v>0</v>
      </c>
      <c r="G172" s="620"/>
    </row>
    <row r="173" spans="1:8" ht="33.75" customHeight="1">
      <c r="A173" s="505">
        <f t="shared" si="49"/>
        <v>32.04999999999999</v>
      </c>
      <c r="B173" s="465" t="s">
        <v>1181</v>
      </c>
      <c r="C173" s="615">
        <v>34.47</v>
      </c>
      <c r="D173" s="615" t="s">
        <v>91</v>
      </c>
      <c r="E173" s="628">
        <v>0</v>
      </c>
      <c r="F173" s="617">
        <f t="shared" si="50"/>
        <v>0</v>
      </c>
      <c r="G173" s="620"/>
    </row>
    <row r="174" spans="1:8" ht="77.25" customHeight="1">
      <c r="A174" s="505">
        <f t="shared" si="49"/>
        <v>32.059999999999988</v>
      </c>
      <c r="B174" s="465" t="s">
        <v>1182</v>
      </c>
      <c r="C174" s="615">
        <v>1</v>
      </c>
      <c r="D174" s="615" t="s">
        <v>16</v>
      </c>
      <c r="E174" s="628">
        <v>0</v>
      </c>
      <c r="F174" s="617">
        <f t="shared" ref="F174" si="51">+ROUND(C174*E174,2)</f>
        <v>0</v>
      </c>
      <c r="G174" s="620">
        <f>SUM(F169:F174)</f>
        <v>0</v>
      </c>
    </row>
    <row r="175" spans="1:8" ht="20.45" customHeight="1">
      <c r="A175" s="504"/>
      <c r="B175" s="465"/>
      <c r="C175" s="615"/>
      <c r="D175" s="615"/>
      <c r="E175" s="616"/>
      <c r="F175" s="617"/>
      <c r="G175" s="620"/>
    </row>
    <row r="176" spans="1:8" ht="20.45" customHeight="1">
      <c r="A176" s="520"/>
      <c r="B176" s="511" t="s">
        <v>1111</v>
      </c>
      <c r="C176" s="615"/>
      <c r="D176" s="615"/>
      <c r="E176" s="616"/>
      <c r="F176" s="617"/>
      <c r="G176" s="618"/>
      <c r="H176" s="475"/>
    </row>
    <row r="177" spans="1:27" ht="20.45" customHeight="1">
      <c r="A177" s="520"/>
      <c r="B177" s="511"/>
      <c r="C177" s="615"/>
      <c r="D177" s="615"/>
      <c r="E177" s="616"/>
      <c r="F177" s="617"/>
      <c r="G177" s="618"/>
      <c r="H177" s="475"/>
    </row>
    <row r="178" spans="1:27" ht="20.45" customHeight="1">
      <c r="A178" s="520">
        <f>A168+1</f>
        <v>33</v>
      </c>
      <c r="B178" s="629" t="s">
        <v>1132</v>
      </c>
      <c r="C178" s="630"/>
      <c r="D178" s="630"/>
      <c r="E178" s="630"/>
      <c r="F178" s="630"/>
      <c r="G178" s="618"/>
    </row>
    <row r="179" spans="1:27" ht="20.45" customHeight="1">
      <c r="A179" s="504">
        <f t="shared" si="44"/>
        <v>33.01</v>
      </c>
      <c r="B179" s="460" t="s">
        <v>1134</v>
      </c>
      <c r="C179" s="630">
        <v>1</v>
      </c>
      <c r="D179" s="630" t="s">
        <v>2</v>
      </c>
      <c r="E179" s="631">
        <v>0</v>
      </c>
      <c r="F179" s="617">
        <f>ROUND(C179*E179,2)</f>
        <v>0</v>
      </c>
      <c r="G179" s="620">
        <f>SUM(F179)</f>
        <v>0</v>
      </c>
    </row>
    <row r="180" spans="1:27" s="467" customFormat="1" ht="20.45" customHeight="1" thickBot="1">
      <c r="A180" s="512"/>
      <c r="B180" s="513"/>
      <c r="C180" s="632"/>
      <c r="D180" s="632"/>
      <c r="E180" s="633"/>
      <c r="F180" s="634"/>
      <c r="G180" s="635"/>
      <c r="H180" s="466"/>
      <c r="I180" s="476"/>
      <c r="J180" s="477"/>
      <c r="K180" s="477"/>
      <c r="L180" s="477"/>
      <c r="M180" s="477"/>
      <c r="N180" s="477"/>
      <c r="O180" s="477"/>
      <c r="P180" s="477"/>
      <c r="Q180" s="477"/>
      <c r="R180" s="477"/>
      <c r="S180" s="477"/>
      <c r="T180" s="477"/>
      <c r="U180" s="477"/>
      <c r="V180" s="477"/>
      <c r="W180" s="477"/>
      <c r="X180" s="477"/>
      <c r="Y180" s="477"/>
      <c r="Z180" s="477"/>
      <c r="AA180" s="477"/>
    </row>
    <row r="181" spans="1:27" s="467" customFormat="1" ht="20.45" customHeight="1" thickTop="1" thickBot="1">
      <c r="A181" s="523"/>
      <c r="B181" s="636" t="s">
        <v>482</v>
      </c>
      <c r="C181" s="637"/>
      <c r="D181" s="638"/>
      <c r="E181" s="639"/>
      <c r="F181" s="639"/>
      <c r="G181" s="640">
        <f>SUM(G12:G180)</f>
        <v>0</v>
      </c>
      <c r="H181" s="492"/>
      <c r="I181" s="477"/>
      <c r="J181" s="477"/>
      <c r="K181" s="477"/>
      <c r="L181" s="477"/>
      <c r="M181" s="477"/>
      <c r="N181" s="477"/>
      <c r="O181" s="477"/>
      <c r="P181" s="477"/>
      <c r="Q181" s="477"/>
      <c r="R181" s="477"/>
      <c r="S181" s="477"/>
      <c r="T181" s="477"/>
      <c r="U181" s="477"/>
      <c r="V181" s="477"/>
      <c r="W181" s="477"/>
      <c r="X181" s="477"/>
      <c r="Y181" s="477"/>
      <c r="Z181" s="477"/>
      <c r="AA181" s="477"/>
    </row>
    <row r="182" spans="1:27" s="467" customFormat="1" ht="20.45" customHeight="1" thickTop="1">
      <c r="A182" s="524"/>
      <c r="B182" s="641"/>
      <c r="C182" s="642"/>
      <c r="D182" s="643"/>
      <c r="E182" s="644"/>
      <c r="F182" s="644"/>
      <c r="G182" s="645"/>
      <c r="I182" s="477"/>
      <c r="J182" s="477"/>
      <c r="K182" s="477"/>
      <c r="L182" s="477"/>
      <c r="M182" s="477"/>
      <c r="N182" s="477"/>
      <c r="O182" s="477"/>
      <c r="P182" s="477"/>
      <c r="Q182" s="477"/>
      <c r="R182" s="477"/>
      <c r="S182" s="477"/>
      <c r="T182" s="477"/>
      <c r="U182" s="477"/>
      <c r="V182" s="477"/>
      <c r="W182" s="477"/>
      <c r="X182" s="477"/>
      <c r="Y182" s="477"/>
      <c r="Z182" s="477"/>
      <c r="AA182" s="477"/>
    </row>
    <row r="183" spans="1:27" s="467" customFormat="1" ht="20.45" customHeight="1">
      <c r="A183" s="525"/>
      <c r="B183" s="646" t="s">
        <v>1112</v>
      </c>
      <c r="C183" s="647"/>
      <c r="D183" s="648"/>
      <c r="E183" s="647"/>
      <c r="F183" s="649"/>
      <c r="G183" s="650"/>
      <c r="I183" s="477"/>
      <c r="J183" s="477"/>
      <c r="K183" s="477"/>
      <c r="L183" s="477"/>
      <c r="M183" s="477"/>
      <c r="N183" s="477"/>
      <c r="O183" s="477"/>
      <c r="P183" s="477"/>
      <c r="Q183" s="477"/>
      <c r="R183" s="477"/>
      <c r="S183" s="477"/>
      <c r="T183" s="477"/>
      <c r="U183" s="477"/>
      <c r="V183" s="477"/>
      <c r="W183" s="477"/>
      <c r="X183" s="477"/>
      <c r="Y183" s="477"/>
      <c r="Z183" s="477"/>
      <c r="AA183" s="477"/>
    </row>
    <row r="184" spans="1:27" s="467" customFormat="1" ht="20.45" customHeight="1">
      <c r="A184" s="541"/>
      <c r="B184" s="651"/>
      <c r="C184" s="652"/>
      <c r="D184" s="653"/>
      <c r="E184" s="652"/>
      <c r="F184" s="649"/>
      <c r="G184" s="650"/>
      <c r="I184" s="477"/>
      <c r="J184" s="477"/>
      <c r="K184" s="477"/>
      <c r="L184" s="477"/>
      <c r="M184" s="477"/>
      <c r="N184" s="477"/>
      <c r="O184" s="477"/>
      <c r="P184" s="477"/>
      <c r="Q184" s="477"/>
      <c r="R184" s="477"/>
      <c r="S184" s="477"/>
      <c r="T184" s="477"/>
      <c r="U184" s="477"/>
      <c r="V184" s="477"/>
      <c r="W184" s="477"/>
      <c r="X184" s="477"/>
      <c r="Y184" s="477"/>
      <c r="Z184" s="477"/>
      <c r="AA184" s="477"/>
    </row>
    <row r="185" spans="1:27" s="467" customFormat="1" ht="20.45" customHeight="1">
      <c r="A185" s="505"/>
      <c r="B185" s="468" t="s">
        <v>1140</v>
      </c>
      <c r="C185" s="615"/>
      <c r="D185" s="615"/>
      <c r="E185" s="654">
        <v>0.1</v>
      </c>
      <c r="F185" s="655">
        <f>ROUND($G$181*E185,2)</f>
        <v>0</v>
      </c>
      <c r="G185" s="656"/>
      <c r="I185" s="477"/>
      <c r="J185" s="477"/>
      <c r="K185" s="477"/>
      <c r="L185" s="477"/>
      <c r="M185" s="477"/>
      <c r="N185" s="477"/>
      <c r="O185" s="477"/>
      <c r="P185" s="477"/>
      <c r="Q185" s="477"/>
      <c r="R185" s="477"/>
      <c r="S185" s="477"/>
      <c r="T185" s="477"/>
      <c r="U185" s="477"/>
      <c r="V185" s="477"/>
      <c r="W185" s="477"/>
      <c r="X185" s="477"/>
      <c r="Y185" s="477"/>
      <c r="Z185" s="477"/>
      <c r="AA185" s="477"/>
    </row>
    <row r="186" spans="1:27" s="467" customFormat="1" ht="20.45" customHeight="1">
      <c r="A186" s="505"/>
      <c r="B186" s="468" t="s">
        <v>1141</v>
      </c>
      <c r="C186" s="615"/>
      <c r="D186" s="615"/>
      <c r="E186" s="654">
        <v>4.4999999999999998E-2</v>
      </c>
      <c r="F186" s="655">
        <f t="shared" ref="F186:F192" si="52">ROUND($G$181*E186,2)</f>
        <v>0</v>
      </c>
      <c r="G186" s="656"/>
      <c r="I186" s="477"/>
      <c r="J186" s="477"/>
      <c r="K186" s="477"/>
      <c r="L186" s="477"/>
      <c r="M186" s="477"/>
      <c r="N186" s="477"/>
      <c r="O186" s="477"/>
      <c r="P186" s="477"/>
      <c r="Q186" s="477"/>
      <c r="R186" s="477"/>
      <c r="S186" s="477"/>
      <c r="T186" s="477"/>
      <c r="U186" s="477"/>
      <c r="V186" s="477"/>
      <c r="W186" s="477"/>
      <c r="X186" s="477"/>
      <c r="Y186" s="477"/>
      <c r="Z186" s="477"/>
      <c r="AA186" s="477"/>
    </row>
    <row r="187" spans="1:27" s="467" customFormat="1" ht="20.45" customHeight="1">
      <c r="A187" s="505"/>
      <c r="B187" s="468" t="s">
        <v>1142</v>
      </c>
      <c r="C187" s="615"/>
      <c r="D187" s="615"/>
      <c r="E187" s="654">
        <v>0.03</v>
      </c>
      <c r="F187" s="655">
        <f t="shared" si="52"/>
        <v>0</v>
      </c>
      <c r="G187" s="656"/>
      <c r="I187" s="477"/>
      <c r="J187" s="477"/>
      <c r="K187" s="477"/>
      <c r="L187" s="477"/>
      <c r="M187" s="477"/>
      <c r="N187" s="477"/>
      <c r="O187" s="477"/>
      <c r="P187" s="477"/>
      <c r="Q187" s="477"/>
      <c r="R187" s="477"/>
      <c r="S187" s="477"/>
      <c r="T187" s="477"/>
      <c r="U187" s="477"/>
      <c r="V187" s="477"/>
      <c r="W187" s="477"/>
      <c r="X187" s="477"/>
      <c r="Y187" s="477"/>
      <c r="Z187" s="477"/>
      <c r="AA187" s="477"/>
    </row>
    <row r="188" spans="1:27" s="467" customFormat="1" ht="20.45" customHeight="1">
      <c r="A188" s="505"/>
      <c r="B188" s="468" t="s">
        <v>1119</v>
      </c>
      <c r="C188" s="615"/>
      <c r="D188" s="615"/>
      <c r="E188" s="654">
        <v>1.4999999999999999E-2</v>
      </c>
      <c r="F188" s="655">
        <f t="shared" si="52"/>
        <v>0</v>
      </c>
      <c r="G188" s="656"/>
      <c r="I188" s="477"/>
      <c r="J188" s="477"/>
      <c r="K188" s="477"/>
      <c r="L188" s="477"/>
      <c r="M188" s="477"/>
      <c r="N188" s="477"/>
      <c r="O188" s="477"/>
      <c r="P188" s="477"/>
      <c r="Q188" s="477"/>
      <c r="R188" s="477"/>
      <c r="S188" s="477"/>
      <c r="T188" s="477"/>
      <c r="U188" s="477"/>
      <c r="V188" s="477"/>
      <c r="W188" s="477"/>
      <c r="X188" s="477"/>
      <c r="Y188" s="477"/>
      <c r="Z188" s="477"/>
      <c r="AA188" s="477"/>
    </row>
    <row r="189" spans="1:27" s="467" customFormat="1" ht="20.45" customHeight="1">
      <c r="A189" s="505"/>
      <c r="B189" s="468" t="s">
        <v>1120</v>
      </c>
      <c r="C189" s="615"/>
      <c r="D189" s="615"/>
      <c r="E189" s="654">
        <v>0.1</v>
      </c>
      <c r="F189" s="655">
        <f t="shared" si="52"/>
        <v>0</v>
      </c>
      <c r="G189" s="656"/>
      <c r="I189" s="477"/>
      <c r="J189" s="477"/>
      <c r="K189" s="477"/>
      <c r="L189" s="477"/>
      <c r="M189" s="477"/>
      <c r="N189" s="477"/>
      <c r="O189" s="477"/>
      <c r="P189" s="477"/>
      <c r="Q189" s="477"/>
      <c r="R189" s="477"/>
      <c r="S189" s="477"/>
      <c r="T189" s="477"/>
      <c r="U189" s="477"/>
      <c r="V189" s="477"/>
      <c r="W189" s="477"/>
      <c r="X189" s="477"/>
      <c r="Y189" s="477"/>
      <c r="Z189" s="477"/>
      <c r="AA189" s="477"/>
    </row>
    <row r="190" spans="1:27" s="467" customFormat="1" ht="33" customHeight="1">
      <c r="A190" s="505"/>
      <c r="B190" s="468" t="s">
        <v>1121</v>
      </c>
      <c r="C190" s="615"/>
      <c r="D190" s="615"/>
      <c r="E190" s="654">
        <v>1E-3</v>
      </c>
      <c r="F190" s="655">
        <f t="shared" si="52"/>
        <v>0</v>
      </c>
      <c r="G190" s="656"/>
      <c r="I190" s="477"/>
      <c r="J190" s="477"/>
      <c r="K190" s="477"/>
      <c r="L190" s="477"/>
      <c r="M190" s="477"/>
      <c r="N190" s="477"/>
      <c r="O190" s="477"/>
      <c r="P190" s="477"/>
      <c r="Q190" s="477"/>
      <c r="R190" s="477"/>
      <c r="S190" s="477"/>
      <c r="T190" s="477"/>
      <c r="U190" s="477"/>
      <c r="V190" s="477"/>
      <c r="W190" s="477"/>
      <c r="X190" s="477"/>
      <c r="Y190" s="477"/>
      <c r="Z190" s="477"/>
      <c r="AA190" s="477"/>
    </row>
    <row r="191" spans="1:27" s="467" customFormat="1" ht="20.45" customHeight="1">
      <c r="A191" s="505"/>
      <c r="B191" s="468" t="s">
        <v>1113</v>
      </c>
      <c r="C191" s="615"/>
      <c r="D191" s="615"/>
      <c r="E191" s="654">
        <v>1.7999999999999999E-2</v>
      </c>
      <c r="F191" s="655">
        <f t="shared" si="52"/>
        <v>0</v>
      </c>
      <c r="G191" s="656"/>
      <c r="I191" s="477"/>
      <c r="J191" s="477"/>
      <c r="K191" s="477"/>
      <c r="L191" s="477"/>
      <c r="M191" s="477"/>
      <c r="N191" s="477"/>
      <c r="O191" s="477"/>
      <c r="P191" s="477"/>
      <c r="Q191" s="477"/>
      <c r="R191" s="477"/>
      <c r="S191" s="477"/>
      <c r="T191" s="477"/>
      <c r="U191" s="477"/>
      <c r="V191" s="477"/>
      <c r="W191" s="477"/>
      <c r="X191" s="477"/>
      <c r="Y191" s="477"/>
      <c r="Z191" s="477"/>
      <c r="AA191" s="477"/>
    </row>
    <row r="192" spans="1:27" s="467" customFormat="1" ht="38.25" customHeight="1">
      <c r="A192" s="506"/>
      <c r="B192" s="542" t="s">
        <v>491</v>
      </c>
      <c r="C192" s="657"/>
      <c r="D192" s="657"/>
      <c r="E192" s="658">
        <v>0.01</v>
      </c>
      <c r="F192" s="659">
        <f t="shared" si="52"/>
        <v>0</v>
      </c>
      <c r="G192" s="660">
        <f>SUM(F185:F192)</f>
        <v>0</v>
      </c>
      <c r="H192" s="466"/>
      <c r="I192" s="476"/>
      <c r="J192" s="477"/>
      <c r="K192" s="477"/>
      <c r="L192" s="477"/>
      <c r="M192" s="477"/>
      <c r="N192" s="477"/>
      <c r="O192" s="477"/>
      <c r="P192" s="477"/>
      <c r="Q192" s="477"/>
      <c r="R192" s="477"/>
      <c r="S192" s="477"/>
      <c r="T192" s="477"/>
      <c r="U192" s="477"/>
      <c r="V192" s="477"/>
      <c r="W192" s="477"/>
      <c r="X192" s="477"/>
      <c r="Y192" s="477"/>
      <c r="Z192" s="477"/>
      <c r="AA192" s="477"/>
    </row>
    <row r="193" spans="1:27" s="467" customFormat="1" ht="20.45" customHeight="1">
      <c r="A193" s="543"/>
      <c r="B193" s="544"/>
      <c r="C193" s="544"/>
      <c r="D193" s="661"/>
      <c r="E193" s="662"/>
      <c r="F193" s="663"/>
      <c r="G193" s="545"/>
      <c r="H193" s="469"/>
      <c r="I193" s="477"/>
      <c r="J193" s="477"/>
      <c r="K193" s="477"/>
      <c r="L193" s="477"/>
      <c r="M193" s="477"/>
      <c r="N193" s="477"/>
      <c r="O193" s="477"/>
      <c r="P193" s="477"/>
      <c r="Q193" s="477"/>
      <c r="R193" s="477"/>
      <c r="S193" s="477"/>
      <c r="T193" s="477"/>
      <c r="U193" s="477"/>
      <c r="V193" s="477"/>
      <c r="W193" s="477"/>
      <c r="X193" s="477"/>
      <c r="Y193" s="477"/>
      <c r="Z193" s="477"/>
      <c r="AA193" s="477"/>
    </row>
    <row r="194" spans="1:27" s="467" customFormat="1" ht="20.45" customHeight="1">
      <c r="A194" s="543"/>
      <c r="B194" s="544"/>
      <c r="C194" s="544"/>
      <c r="D194" s="661"/>
      <c r="E194" s="662"/>
      <c r="F194" s="663"/>
      <c r="G194" s="545"/>
      <c r="H194" s="469"/>
      <c r="I194" s="477"/>
      <c r="J194" s="477"/>
      <c r="K194" s="477"/>
      <c r="L194" s="477"/>
      <c r="M194" s="477"/>
      <c r="N194" s="477"/>
      <c r="O194" s="477"/>
      <c r="P194" s="477"/>
      <c r="Q194" s="477"/>
      <c r="R194" s="477"/>
      <c r="S194" s="477"/>
      <c r="T194" s="477"/>
      <c r="U194" s="477"/>
      <c r="V194" s="477"/>
      <c r="W194" s="477"/>
      <c r="X194" s="477"/>
      <c r="Y194" s="477"/>
      <c r="Z194" s="477"/>
      <c r="AA194" s="477"/>
    </row>
    <row r="195" spans="1:27" s="467" customFormat="1" ht="20.45" customHeight="1">
      <c r="A195" s="543"/>
      <c r="B195" s="544"/>
      <c r="C195" s="544"/>
      <c r="D195" s="661"/>
      <c r="E195" s="662"/>
      <c r="F195" s="663"/>
      <c r="G195" s="545"/>
      <c r="H195" s="469"/>
      <c r="I195" s="477"/>
      <c r="J195" s="477"/>
      <c r="K195" s="477"/>
      <c r="L195" s="477"/>
      <c r="M195" s="477"/>
      <c r="N195" s="477"/>
      <c r="O195" s="477"/>
      <c r="P195" s="477"/>
      <c r="Q195" s="477"/>
      <c r="R195" s="477"/>
      <c r="S195" s="477"/>
      <c r="T195" s="477"/>
      <c r="U195" s="477"/>
      <c r="V195" s="477"/>
      <c r="W195" s="477"/>
      <c r="X195" s="477"/>
      <c r="Y195" s="477"/>
      <c r="Z195" s="477"/>
      <c r="AA195" s="477"/>
    </row>
    <row r="196" spans="1:27" s="467" customFormat="1" ht="20.45" customHeight="1">
      <c r="A196" s="543"/>
      <c r="B196" s="544"/>
      <c r="C196" s="544"/>
      <c r="D196" s="661"/>
      <c r="E196" s="662"/>
      <c r="F196" s="663"/>
      <c r="G196" s="545"/>
      <c r="H196" s="469"/>
      <c r="I196" s="477"/>
      <c r="J196" s="477"/>
      <c r="K196" s="477"/>
      <c r="L196" s="477"/>
      <c r="M196" s="477"/>
      <c r="N196" s="477"/>
      <c r="O196" s="477"/>
      <c r="P196" s="477"/>
      <c r="Q196" s="477"/>
      <c r="R196" s="477"/>
      <c r="S196" s="477"/>
      <c r="T196" s="477"/>
      <c r="U196" s="477"/>
      <c r="V196" s="477"/>
      <c r="W196" s="477"/>
      <c r="X196" s="477"/>
      <c r="Y196" s="477"/>
      <c r="Z196" s="477"/>
      <c r="AA196" s="477"/>
    </row>
    <row r="197" spans="1:27" s="467" customFormat="1" ht="20.45" customHeight="1">
      <c r="A197" s="543"/>
      <c r="B197" s="544"/>
      <c r="C197" s="544"/>
      <c r="D197" s="661"/>
      <c r="E197" s="662"/>
      <c r="F197" s="663"/>
      <c r="G197" s="545"/>
      <c r="H197" s="469"/>
      <c r="I197" s="477"/>
      <c r="J197" s="477"/>
      <c r="K197" s="477"/>
      <c r="L197" s="477"/>
      <c r="M197" s="477"/>
      <c r="N197" s="477"/>
      <c r="O197" s="477"/>
      <c r="P197" s="477"/>
      <c r="Q197" s="477"/>
      <c r="R197" s="477"/>
      <c r="S197" s="477"/>
      <c r="T197" s="477"/>
      <c r="U197" s="477"/>
      <c r="V197" s="477"/>
      <c r="W197" s="477"/>
      <c r="X197" s="477"/>
      <c r="Y197" s="477"/>
      <c r="Z197" s="477"/>
      <c r="AA197" s="477"/>
    </row>
    <row r="198" spans="1:27" s="467" customFormat="1" ht="20.45" customHeight="1">
      <c r="A198" s="543"/>
      <c r="B198" s="544"/>
      <c r="C198" s="544"/>
      <c r="D198" s="661"/>
      <c r="E198" s="662"/>
      <c r="F198" s="663"/>
      <c r="G198" s="545"/>
      <c r="H198" s="469"/>
      <c r="I198" s="477"/>
      <c r="J198" s="477"/>
      <c r="K198" s="477"/>
      <c r="L198" s="477"/>
      <c r="M198" s="477"/>
      <c r="N198" s="477"/>
      <c r="O198" s="477"/>
      <c r="P198" s="477"/>
      <c r="Q198" s="477"/>
      <c r="R198" s="477"/>
      <c r="S198" s="477"/>
      <c r="T198" s="477"/>
      <c r="U198" s="477"/>
      <c r="V198" s="477"/>
      <c r="W198" s="477"/>
      <c r="X198" s="477"/>
      <c r="Y198" s="477"/>
      <c r="Z198" s="477"/>
      <c r="AA198" s="477"/>
    </row>
    <row r="199" spans="1:27" s="467" customFormat="1" ht="20.45" customHeight="1">
      <c r="A199" s="543"/>
      <c r="B199" s="544"/>
      <c r="C199" s="544"/>
      <c r="D199" s="661"/>
      <c r="E199" s="662"/>
      <c r="F199" s="663"/>
      <c r="G199" s="545"/>
      <c r="H199" s="469"/>
      <c r="I199" s="477"/>
      <c r="J199" s="477"/>
      <c r="K199" s="477"/>
      <c r="L199" s="477"/>
      <c r="M199" s="477"/>
      <c r="N199" s="477"/>
      <c r="O199" s="477"/>
      <c r="P199" s="477"/>
      <c r="Q199" s="477"/>
      <c r="R199" s="477"/>
      <c r="S199" s="477"/>
      <c r="T199" s="477"/>
      <c r="U199" s="477"/>
      <c r="V199" s="477"/>
      <c r="W199" s="477"/>
      <c r="X199" s="477"/>
      <c r="Y199" s="477"/>
      <c r="Z199" s="477"/>
      <c r="AA199" s="477"/>
    </row>
    <row r="200" spans="1:27" s="467" customFormat="1" ht="20.45" customHeight="1">
      <c r="A200" s="543"/>
      <c r="B200" s="544"/>
      <c r="C200" s="544"/>
      <c r="D200" s="661"/>
      <c r="E200" s="662"/>
      <c r="F200" s="663"/>
      <c r="G200" s="545"/>
      <c r="H200" s="469"/>
      <c r="I200" s="477"/>
      <c r="J200" s="477"/>
      <c r="K200" s="477"/>
      <c r="L200" s="477"/>
      <c r="M200" s="477"/>
      <c r="N200" s="477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  <c r="Y200" s="477"/>
      <c r="Z200" s="477"/>
      <c r="AA200" s="477"/>
    </row>
    <row r="201" spans="1:27" s="467" customFormat="1" ht="20.45" customHeight="1" thickBot="1">
      <c r="A201" s="543"/>
      <c r="B201" s="544"/>
      <c r="C201" s="544"/>
      <c r="D201" s="661"/>
      <c r="E201" s="662"/>
      <c r="F201" s="663"/>
      <c r="G201" s="545"/>
      <c r="H201" s="469"/>
      <c r="I201" s="477"/>
      <c r="J201" s="477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477"/>
      <c r="X201" s="477"/>
      <c r="Y201" s="477"/>
      <c r="Z201" s="477"/>
      <c r="AA201" s="477"/>
    </row>
    <row r="202" spans="1:27" s="467" customFormat="1" ht="20.45" customHeight="1" thickTop="1" thickBot="1">
      <c r="A202" s="526"/>
      <c r="B202" s="664" t="s">
        <v>492</v>
      </c>
      <c r="C202" s="665"/>
      <c r="D202" s="666"/>
      <c r="E202" s="667"/>
      <c r="F202" s="667"/>
      <c r="G202" s="668">
        <f>G181+G192</f>
        <v>0</v>
      </c>
      <c r="H202" s="492"/>
      <c r="I202" s="477"/>
      <c r="J202" s="477"/>
      <c r="K202" s="477"/>
      <c r="L202" s="477"/>
      <c r="M202" s="477"/>
      <c r="N202" s="477"/>
      <c r="O202" s="477"/>
      <c r="P202" s="477"/>
      <c r="Q202" s="477"/>
      <c r="R202" s="477"/>
      <c r="S202" s="477"/>
      <c r="T202" s="477"/>
      <c r="U202" s="477"/>
      <c r="V202" s="477"/>
      <c r="W202" s="477"/>
      <c r="X202" s="477"/>
      <c r="Y202" s="477"/>
      <c r="Z202" s="477"/>
      <c r="AA202" s="477"/>
    </row>
    <row r="203" spans="1:27" s="467" customFormat="1" ht="20.45" customHeight="1" thickTop="1">
      <c r="A203" s="527"/>
      <c r="B203" s="491"/>
      <c r="C203" s="488"/>
      <c r="D203" s="489"/>
      <c r="E203" s="490"/>
      <c r="F203" s="490"/>
      <c r="G203" s="507"/>
      <c r="I203" s="477"/>
      <c r="J203" s="477"/>
      <c r="K203" s="477"/>
      <c r="L203" s="477"/>
      <c r="M203" s="477"/>
      <c r="N203" s="477"/>
      <c r="O203" s="477"/>
      <c r="P203" s="477"/>
      <c r="Q203" s="477"/>
      <c r="R203" s="477"/>
      <c r="S203" s="477"/>
      <c r="T203" s="477"/>
      <c r="U203" s="477"/>
      <c r="V203" s="477"/>
      <c r="W203" s="477"/>
      <c r="X203" s="477"/>
      <c r="Y203" s="477"/>
      <c r="Z203" s="477"/>
      <c r="AA203" s="477"/>
    </row>
    <row r="204" spans="1:27" s="467" customFormat="1" ht="20.45" customHeight="1">
      <c r="A204" s="527"/>
      <c r="B204" s="491"/>
      <c r="C204" s="488"/>
      <c r="D204" s="489"/>
      <c r="E204" s="490"/>
      <c r="F204" s="490"/>
      <c r="G204" s="507"/>
      <c r="I204" s="477"/>
      <c r="J204" s="477"/>
      <c r="K204" s="477"/>
      <c r="L204" s="477"/>
      <c r="M204" s="477"/>
      <c r="N204" s="477"/>
      <c r="O204" s="477"/>
      <c r="P204" s="477"/>
      <c r="Q204" s="477"/>
      <c r="R204" s="477"/>
      <c r="S204" s="477"/>
      <c r="T204" s="477"/>
      <c r="U204" s="477"/>
      <c r="V204" s="477"/>
      <c r="W204" s="477"/>
      <c r="X204" s="477"/>
      <c r="Y204" s="477"/>
      <c r="Z204" s="477"/>
      <c r="AA204" s="477"/>
    </row>
    <row r="205" spans="1:27" s="467" customFormat="1" ht="20.45" customHeight="1">
      <c r="A205" s="527"/>
      <c r="B205" s="491"/>
      <c r="C205" s="488"/>
      <c r="D205" s="489"/>
      <c r="E205" s="490"/>
      <c r="F205" s="490"/>
      <c r="G205" s="507"/>
      <c r="I205" s="477"/>
      <c r="J205" s="477"/>
      <c r="K205" s="477"/>
      <c r="L205" s="477"/>
      <c r="M205" s="477"/>
      <c r="N205" s="477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  <c r="Y205" s="477"/>
      <c r="Z205" s="477"/>
      <c r="AA205" s="477"/>
    </row>
    <row r="206" spans="1:27" s="467" customFormat="1" ht="20.45" customHeight="1">
      <c r="A206" s="527"/>
      <c r="B206" s="491"/>
      <c r="C206" s="488"/>
      <c r="D206" s="489"/>
      <c r="E206" s="490"/>
      <c r="F206" s="490"/>
      <c r="G206" s="507"/>
      <c r="I206" s="477"/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/>
    </row>
    <row r="207" spans="1:27" s="467" customFormat="1" ht="20.45" customHeight="1">
      <c r="A207" s="527"/>
      <c r="B207" s="491"/>
      <c r="C207" s="488"/>
      <c r="D207" s="489"/>
      <c r="E207" s="490"/>
      <c r="F207" s="490"/>
      <c r="G207" s="507"/>
      <c r="I207" s="477"/>
      <c r="J207" s="477"/>
      <c r="K207" s="477"/>
      <c r="L207" s="477"/>
      <c r="M207" s="477"/>
      <c r="N207" s="477"/>
      <c r="O207" s="477"/>
      <c r="P207" s="477"/>
      <c r="Q207" s="477"/>
      <c r="R207" s="477"/>
      <c r="S207" s="477"/>
      <c r="T207" s="477"/>
      <c r="U207" s="477"/>
      <c r="V207" s="477"/>
      <c r="W207" s="477"/>
      <c r="X207" s="477"/>
      <c r="Y207" s="477"/>
      <c r="Z207" s="477"/>
      <c r="AA207" s="477"/>
    </row>
    <row r="208" spans="1:27" s="467" customFormat="1" ht="20.45" customHeight="1">
      <c r="A208" s="527"/>
      <c r="B208" s="491"/>
      <c r="C208" s="488"/>
      <c r="D208" s="489"/>
      <c r="E208" s="490"/>
      <c r="F208" s="490"/>
      <c r="G208" s="507"/>
      <c r="I208" s="477"/>
      <c r="J208" s="477"/>
      <c r="K208" s="477"/>
      <c r="L208" s="477"/>
      <c r="M208" s="477"/>
      <c r="N208" s="477"/>
      <c r="O208" s="477"/>
      <c r="P208" s="477"/>
      <c r="Q208" s="477"/>
      <c r="R208" s="477"/>
      <c r="S208" s="477"/>
      <c r="T208" s="477"/>
      <c r="U208" s="477"/>
      <c r="V208" s="477"/>
      <c r="W208" s="477"/>
      <c r="X208" s="477"/>
      <c r="Y208" s="477"/>
      <c r="Z208" s="477"/>
      <c r="AA208" s="477"/>
    </row>
    <row r="209" spans="1:27" s="467" customFormat="1" ht="20.45" customHeight="1">
      <c r="A209" s="527"/>
      <c r="B209" s="491"/>
      <c r="C209" s="488"/>
      <c r="D209" s="489"/>
      <c r="E209" s="490"/>
      <c r="F209" s="490"/>
      <c r="G209" s="507"/>
      <c r="I209" s="477"/>
      <c r="J209" s="477"/>
      <c r="K209" s="477"/>
      <c r="L209" s="477"/>
      <c r="M209" s="477"/>
      <c r="N209" s="477"/>
      <c r="O209" s="477"/>
      <c r="P209" s="477"/>
      <c r="Q209" s="477"/>
      <c r="R209" s="477"/>
      <c r="S209" s="477"/>
      <c r="T209" s="477"/>
      <c r="U209" s="477"/>
      <c r="V209" s="477"/>
      <c r="W209" s="477"/>
      <c r="X209" s="477"/>
      <c r="Y209" s="477"/>
      <c r="Z209" s="477"/>
      <c r="AA209" s="477"/>
    </row>
    <row r="210" spans="1:27" s="467" customFormat="1" ht="20.45" customHeight="1">
      <c r="A210" s="563" t="s">
        <v>1114</v>
      </c>
      <c r="B210" s="564"/>
      <c r="C210" s="565" t="s">
        <v>1115</v>
      </c>
      <c r="D210" s="565"/>
      <c r="E210" s="565"/>
      <c r="F210" s="565"/>
      <c r="G210" s="566"/>
      <c r="I210" s="477"/>
      <c r="J210" s="477"/>
      <c r="K210" s="477"/>
      <c r="L210" s="477"/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7"/>
      <c r="X210" s="477"/>
      <c r="Y210" s="477"/>
      <c r="Z210" s="477"/>
      <c r="AA210" s="477"/>
    </row>
    <row r="211" spans="1:27" s="467" customFormat="1" ht="20.45" customHeight="1">
      <c r="A211" s="528"/>
      <c r="B211" s="500"/>
      <c r="C211" s="501"/>
      <c r="D211" s="501"/>
      <c r="E211" s="501"/>
      <c r="F211" s="501"/>
      <c r="G211" s="508"/>
      <c r="I211" s="477"/>
      <c r="J211" s="477"/>
      <c r="K211" s="477"/>
      <c r="L211" s="477"/>
      <c r="M211" s="477"/>
      <c r="N211" s="477"/>
      <c r="O211" s="477"/>
      <c r="P211" s="477"/>
      <c r="Q211" s="477"/>
      <c r="R211" s="477"/>
      <c r="S211" s="477"/>
      <c r="T211" s="477"/>
      <c r="U211" s="477"/>
      <c r="V211" s="477"/>
      <c r="W211" s="477"/>
      <c r="X211" s="477"/>
      <c r="Y211" s="477"/>
      <c r="Z211" s="477"/>
      <c r="AA211" s="477"/>
    </row>
    <row r="212" spans="1:27" s="467" customFormat="1" ht="20.45" customHeight="1">
      <c r="A212" s="528"/>
      <c r="B212" s="535"/>
      <c r="C212" s="536"/>
      <c r="D212" s="536"/>
      <c r="E212" s="536"/>
      <c r="F212" s="536"/>
      <c r="G212" s="537"/>
      <c r="I212" s="477"/>
      <c r="J212" s="477"/>
      <c r="K212" s="477"/>
      <c r="L212" s="477"/>
      <c r="M212" s="477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  <c r="Y212" s="477"/>
      <c r="Z212" s="477"/>
      <c r="AA212" s="477"/>
    </row>
    <row r="213" spans="1:27" s="467" customFormat="1" ht="20.45" customHeight="1">
      <c r="A213" s="528"/>
      <c r="B213" s="535"/>
      <c r="C213" s="536"/>
      <c r="D213" s="536"/>
      <c r="E213" s="536"/>
      <c r="F213" s="536"/>
      <c r="G213" s="537"/>
      <c r="I213" s="477"/>
      <c r="J213" s="477"/>
      <c r="K213" s="477"/>
      <c r="L213" s="477"/>
      <c r="M213" s="477"/>
      <c r="N213" s="477"/>
      <c r="O213" s="477"/>
      <c r="P213" s="477"/>
      <c r="Q213" s="477"/>
      <c r="R213" s="477"/>
      <c r="S213" s="477"/>
      <c r="T213" s="477"/>
      <c r="U213" s="477"/>
      <c r="V213" s="477"/>
      <c r="W213" s="477"/>
      <c r="X213" s="477"/>
      <c r="Y213" s="477"/>
      <c r="Z213" s="477"/>
      <c r="AA213" s="477"/>
    </row>
    <row r="214" spans="1:27" s="467" customFormat="1" ht="20.45" customHeight="1">
      <c r="A214" s="557" t="s">
        <v>1152</v>
      </c>
      <c r="B214" s="558"/>
      <c r="C214" s="567" t="s">
        <v>507</v>
      </c>
      <c r="D214" s="567"/>
      <c r="E214" s="567"/>
      <c r="F214" s="567"/>
      <c r="G214" s="568"/>
      <c r="I214" s="477"/>
      <c r="J214" s="477"/>
      <c r="K214" s="477"/>
      <c r="L214" s="477"/>
      <c r="M214" s="477"/>
      <c r="N214" s="477"/>
      <c r="O214" s="477"/>
      <c r="P214" s="477"/>
      <c r="Q214" s="477"/>
      <c r="R214" s="477"/>
      <c r="S214" s="477"/>
      <c r="T214" s="477"/>
      <c r="U214" s="477"/>
      <c r="V214" s="477"/>
      <c r="W214" s="477"/>
      <c r="X214" s="477"/>
      <c r="Y214" s="477"/>
      <c r="Z214" s="477"/>
      <c r="AA214" s="477"/>
    </row>
    <row r="215" spans="1:27" s="467" customFormat="1" ht="20.45" customHeight="1">
      <c r="A215" s="532"/>
      <c r="B215" s="533"/>
      <c r="C215" s="538"/>
      <c r="D215" s="538"/>
      <c r="E215" s="538"/>
      <c r="F215" s="538"/>
      <c r="G215" s="539"/>
      <c r="I215" s="477"/>
      <c r="J215" s="477"/>
      <c r="K215" s="477"/>
      <c r="L215" s="477"/>
      <c r="M215" s="477"/>
      <c r="N215" s="477"/>
      <c r="O215" s="477"/>
      <c r="P215" s="477"/>
      <c r="Q215" s="477"/>
      <c r="R215" s="477"/>
      <c r="S215" s="477"/>
      <c r="T215" s="477"/>
      <c r="U215" s="477"/>
      <c r="V215" s="477"/>
      <c r="W215" s="477"/>
      <c r="X215" s="477"/>
      <c r="Y215" s="477"/>
      <c r="Z215" s="477"/>
      <c r="AA215" s="477"/>
    </row>
    <row r="216" spans="1:27" s="467" customFormat="1" ht="20.45" customHeight="1">
      <c r="A216" s="532"/>
      <c r="B216" s="533"/>
      <c r="C216" s="538"/>
      <c r="D216" s="538"/>
      <c r="E216" s="538"/>
      <c r="F216" s="538"/>
      <c r="G216" s="539"/>
      <c r="I216" s="477"/>
      <c r="J216" s="477"/>
      <c r="K216" s="477"/>
      <c r="L216" s="477"/>
      <c r="M216" s="477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  <c r="Y216" s="477"/>
      <c r="Z216" s="477"/>
      <c r="AA216" s="477"/>
    </row>
    <row r="217" spans="1:27" s="467" customFormat="1" ht="20.45" customHeight="1">
      <c r="A217" s="532"/>
      <c r="B217" s="533"/>
      <c r="C217" s="538"/>
      <c r="D217" s="538"/>
      <c r="E217" s="538"/>
      <c r="F217" s="538"/>
      <c r="G217" s="539"/>
      <c r="I217" s="477"/>
      <c r="J217" s="477"/>
      <c r="K217" s="477"/>
      <c r="L217" s="477"/>
      <c r="M217" s="477"/>
      <c r="N217" s="477"/>
      <c r="O217" s="477"/>
      <c r="P217" s="477"/>
      <c r="Q217" s="477"/>
      <c r="R217" s="477"/>
      <c r="S217" s="477"/>
      <c r="T217" s="477"/>
      <c r="U217" s="477"/>
      <c r="V217" s="477"/>
      <c r="W217" s="477"/>
      <c r="X217" s="477"/>
      <c r="Y217" s="477"/>
      <c r="Z217" s="477"/>
      <c r="AA217" s="477"/>
    </row>
    <row r="218" spans="1:27" s="467" customFormat="1" ht="20.45" customHeight="1">
      <c r="A218" s="532"/>
      <c r="B218" s="533"/>
      <c r="C218" s="538"/>
      <c r="D218" s="538"/>
      <c r="E218" s="538"/>
      <c r="F218" s="538"/>
      <c r="G218" s="539"/>
      <c r="I218" s="477"/>
      <c r="J218" s="477"/>
      <c r="K218" s="477"/>
      <c r="L218" s="477"/>
      <c r="M218" s="477"/>
      <c r="N218" s="477"/>
      <c r="O218" s="477"/>
      <c r="P218" s="477"/>
      <c r="Q218" s="477"/>
      <c r="R218" s="477"/>
      <c r="S218" s="477"/>
      <c r="T218" s="477"/>
      <c r="U218" s="477"/>
      <c r="V218" s="477"/>
      <c r="W218" s="477"/>
      <c r="X218" s="477"/>
      <c r="Y218" s="477"/>
      <c r="Z218" s="477"/>
      <c r="AA218" s="477"/>
    </row>
    <row r="219" spans="1:27" s="467" customFormat="1" ht="20.45" customHeight="1">
      <c r="A219" s="554" t="s">
        <v>501</v>
      </c>
      <c r="B219" s="555"/>
      <c r="C219" s="555"/>
      <c r="D219" s="555"/>
      <c r="E219" s="555"/>
      <c r="F219" s="555"/>
      <c r="G219" s="556"/>
      <c r="I219" s="477"/>
      <c r="J219" s="477"/>
      <c r="K219" s="477"/>
      <c r="L219" s="477"/>
      <c r="M219" s="477"/>
      <c r="N219" s="477"/>
      <c r="O219" s="477"/>
      <c r="P219" s="477"/>
      <c r="Q219" s="477"/>
      <c r="R219" s="477"/>
      <c r="S219" s="477"/>
      <c r="T219" s="477"/>
      <c r="U219" s="477"/>
      <c r="V219" s="477"/>
      <c r="W219" s="477"/>
      <c r="X219" s="477"/>
      <c r="Y219" s="477"/>
      <c r="Z219" s="477"/>
      <c r="AA219" s="477"/>
    </row>
    <row r="220" spans="1:27" s="467" customFormat="1" ht="20.45" customHeight="1">
      <c r="A220" s="529"/>
      <c r="B220" s="499"/>
      <c r="C220" s="499"/>
      <c r="D220" s="499"/>
      <c r="E220" s="499"/>
      <c r="F220" s="499"/>
      <c r="G220" s="509"/>
      <c r="I220" s="477"/>
      <c r="J220" s="477"/>
      <c r="K220" s="477"/>
      <c r="L220" s="477"/>
      <c r="M220" s="477"/>
      <c r="N220" s="477"/>
      <c r="O220" s="477"/>
      <c r="P220" s="477"/>
      <c r="Q220" s="477"/>
      <c r="R220" s="477"/>
      <c r="S220" s="477"/>
      <c r="T220" s="477"/>
      <c r="U220" s="477"/>
      <c r="V220" s="477"/>
      <c r="W220" s="477"/>
      <c r="X220" s="477"/>
      <c r="Y220" s="477"/>
      <c r="Z220" s="477"/>
      <c r="AA220" s="477"/>
    </row>
    <row r="221" spans="1:27" s="467" customFormat="1" ht="20.45" customHeight="1">
      <c r="A221" s="529"/>
      <c r="B221" s="533"/>
      <c r="C221" s="533"/>
      <c r="D221" s="533"/>
      <c r="E221" s="533"/>
      <c r="F221" s="533"/>
      <c r="G221" s="534"/>
      <c r="I221" s="477"/>
      <c r="J221" s="477"/>
      <c r="K221" s="477"/>
      <c r="L221" s="477"/>
      <c r="M221" s="477"/>
      <c r="N221" s="477"/>
      <c r="O221" s="477"/>
      <c r="P221" s="477"/>
      <c r="Q221" s="477"/>
      <c r="R221" s="477"/>
      <c r="S221" s="477"/>
      <c r="T221" s="477"/>
      <c r="U221" s="477"/>
      <c r="V221" s="477"/>
      <c r="W221" s="477"/>
      <c r="X221" s="477"/>
      <c r="Y221" s="477"/>
      <c r="Z221" s="477"/>
      <c r="AA221" s="477"/>
    </row>
    <row r="222" spans="1:27" ht="20.45" customHeight="1">
      <c r="A222" s="557" t="s">
        <v>502</v>
      </c>
      <c r="B222" s="558"/>
      <c r="C222" s="558"/>
      <c r="D222" s="558"/>
      <c r="E222" s="558"/>
      <c r="F222" s="558"/>
      <c r="G222" s="559"/>
    </row>
    <row r="223" spans="1:27" ht="20.45" customHeight="1" thickBot="1">
      <c r="A223" s="560" t="s">
        <v>1207</v>
      </c>
      <c r="B223" s="561"/>
      <c r="C223" s="561"/>
      <c r="D223" s="561"/>
      <c r="E223" s="561"/>
      <c r="F223" s="561"/>
      <c r="G223" s="562"/>
    </row>
    <row r="224" spans="1:27" ht="15.75" thickTop="1"/>
  </sheetData>
  <mergeCells count="13">
    <mergeCell ref="A219:G219"/>
    <mergeCell ref="A222:G222"/>
    <mergeCell ref="A223:G223"/>
    <mergeCell ref="A210:B210"/>
    <mergeCell ref="C210:G210"/>
    <mergeCell ref="A214:B214"/>
    <mergeCell ref="C214:G214"/>
    <mergeCell ref="F8:G8"/>
    <mergeCell ref="A1:G1"/>
    <mergeCell ref="B2:G2"/>
    <mergeCell ref="B6:D6"/>
    <mergeCell ref="E6:G6"/>
    <mergeCell ref="D7:E7"/>
  </mergeCells>
  <phoneticPr fontId="2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>
    <oddHeader>Página &amp;P</oddHeader>
  </headerFooter>
  <ignoredErrors>
    <ignoredError sqref="A36 A39 A53 A59 A63 A136 A142 A145 A149 A49 A45 A89 A79 A76 A85 A93 A129 A132 A125 A119 A116 A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4"/>
  <sheetViews>
    <sheetView showGridLines="0" showOutlineSymbols="0" view="pageBreakPreview" topLeftCell="C134" zoomScaleNormal="75" zoomScaleSheetLayoutView="100" workbookViewId="0">
      <selection activeCell="D120" sqref="D120"/>
    </sheetView>
  </sheetViews>
  <sheetFormatPr baseColWidth="10" defaultColWidth="12.42578125" defaultRowHeight="15"/>
  <cols>
    <col min="1" max="1" width="57.85546875" style="7" customWidth="1"/>
    <col min="2" max="2" width="18.28515625" style="8" customWidth="1"/>
    <col min="3" max="3" width="21.140625" style="8" customWidth="1"/>
    <col min="4" max="4" width="19.7109375" style="8" customWidth="1"/>
    <col min="5" max="5" width="22.28515625" style="7" customWidth="1"/>
    <col min="6" max="6" width="12.42578125" style="7"/>
    <col min="7" max="7" width="19.28515625" style="7" customWidth="1"/>
    <col min="8" max="256" width="12.42578125" style="7"/>
    <col min="257" max="257" width="57.85546875" style="7" customWidth="1"/>
    <col min="258" max="258" width="18.28515625" style="7" customWidth="1"/>
    <col min="259" max="259" width="21.140625" style="7" customWidth="1"/>
    <col min="260" max="260" width="19.7109375" style="7" customWidth="1"/>
    <col min="261" max="261" width="22.28515625" style="7" customWidth="1"/>
    <col min="262" max="262" width="12.42578125" style="7"/>
    <col min="263" max="263" width="19.28515625" style="7" customWidth="1"/>
    <col min="264" max="512" width="12.42578125" style="7"/>
    <col min="513" max="513" width="57.85546875" style="7" customWidth="1"/>
    <col min="514" max="514" width="18.28515625" style="7" customWidth="1"/>
    <col min="515" max="515" width="21.140625" style="7" customWidth="1"/>
    <col min="516" max="516" width="19.7109375" style="7" customWidth="1"/>
    <col min="517" max="517" width="22.28515625" style="7" customWidth="1"/>
    <col min="518" max="518" width="12.42578125" style="7"/>
    <col min="519" max="519" width="19.28515625" style="7" customWidth="1"/>
    <col min="520" max="768" width="12.42578125" style="7"/>
    <col min="769" max="769" width="57.85546875" style="7" customWidth="1"/>
    <col min="770" max="770" width="18.28515625" style="7" customWidth="1"/>
    <col min="771" max="771" width="21.140625" style="7" customWidth="1"/>
    <col min="772" max="772" width="19.7109375" style="7" customWidth="1"/>
    <col min="773" max="773" width="22.28515625" style="7" customWidth="1"/>
    <col min="774" max="774" width="12.42578125" style="7"/>
    <col min="775" max="775" width="19.28515625" style="7" customWidth="1"/>
    <col min="776" max="1024" width="12.42578125" style="7"/>
    <col min="1025" max="1025" width="57.85546875" style="7" customWidth="1"/>
    <col min="1026" max="1026" width="18.28515625" style="7" customWidth="1"/>
    <col min="1027" max="1027" width="21.140625" style="7" customWidth="1"/>
    <col min="1028" max="1028" width="19.7109375" style="7" customWidth="1"/>
    <col min="1029" max="1029" width="22.28515625" style="7" customWidth="1"/>
    <col min="1030" max="1030" width="12.42578125" style="7"/>
    <col min="1031" max="1031" width="19.28515625" style="7" customWidth="1"/>
    <col min="1032" max="1280" width="12.42578125" style="7"/>
    <col min="1281" max="1281" width="57.85546875" style="7" customWidth="1"/>
    <col min="1282" max="1282" width="18.28515625" style="7" customWidth="1"/>
    <col min="1283" max="1283" width="21.140625" style="7" customWidth="1"/>
    <col min="1284" max="1284" width="19.7109375" style="7" customWidth="1"/>
    <col min="1285" max="1285" width="22.28515625" style="7" customWidth="1"/>
    <col min="1286" max="1286" width="12.42578125" style="7"/>
    <col min="1287" max="1287" width="19.28515625" style="7" customWidth="1"/>
    <col min="1288" max="1536" width="12.42578125" style="7"/>
    <col min="1537" max="1537" width="57.85546875" style="7" customWidth="1"/>
    <col min="1538" max="1538" width="18.28515625" style="7" customWidth="1"/>
    <col min="1539" max="1539" width="21.140625" style="7" customWidth="1"/>
    <col min="1540" max="1540" width="19.7109375" style="7" customWidth="1"/>
    <col min="1541" max="1541" width="22.28515625" style="7" customWidth="1"/>
    <col min="1542" max="1542" width="12.42578125" style="7"/>
    <col min="1543" max="1543" width="19.28515625" style="7" customWidth="1"/>
    <col min="1544" max="1792" width="12.42578125" style="7"/>
    <col min="1793" max="1793" width="57.85546875" style="7" customWidth="1"/>
    <col min="1794" max="1794" width="18.28515625" style="7" customWidth="1"/>
    <col min="1795" max="1795" width="21.140625" style="7" customWidth="1"/>
    <col min="1796" max="1796" width="19.7109375" style="7" customWidth="1"/>
    <col min="1797" max="1797" width="22.28515625" style="7" customWidth="1"/>
    <col min="1798" max="1798" width="12.42578125" style="7"/>
    <col min="1799" max="1799" width="19.28515625" style="7" customWidth="1"/>
    <col min="1800" max="2048" width="12.42578125" style="7"/>
    <col min="2049" max="2049" width="57.85546875" style="7" customWidth="1"/>
    <col min="2050" max="2050" width="18.28515625" style="7" customWidth="1"/>
    <col min="2051" max="2051" width="21.140625" style="7" customWidth="1"/>
    <col min="2052" max="2052" width="19.7109375" style="7" customWidth="1"/>
    <col min="2053" max="2053" width="22.28515625" style="7" customWidth="1"/>
    <col min="2054" max="2054" width="12.42578125" style="7"/>
    <col min="2055" max="2055" width="19.28515625" style="7" customWidth="1"/>
    <col min="2056" max="2304" width="12.42578125" style="7"/>
    <col min="2305" max="2305" width="57.85546875" style="7" customWidth="1"/>
    <col min="2306" max="2306" width="18.28515625" style="7" customWidth="1"/>
    <col min="2307" max="2307" width="21.140625" style="7" customWidth="1"/>
    <col min="2308" max="2308" width="19.7109375" style="7" customWidth="1"/>
    <col min="2309" max="2309" width="22.28515625" style="7" customWidth="1"/>
    <col min="2310" max="2310" width="12.42578125" style="7"/>
    <col min="2311" max="2311" width="19.28515625" style="7" customWidth="1"/>
    <col min="2312" max="2560" width="12.42578125" style="7"/>
    <col min="2561" max="2561" width="57.85546875" style="7" customWidth="1"/>
    <col min="2562" max="2562" width="18.28515625" style="7" customWidth="1"/>
    <col min="2563" max="2563" width="21.140625" style="7" customWidth="1"/>
    <col min="2564" max="2564" width="19.7109375" style="7" customWidth="1"/>
    <col min="2565" max="2565" width="22.28515625" style="7" customWidth="1"/>
    <col min="2566" max="2566" width="12.42578125" style="7"/>
    <col min="2567" max="2567" width="19.28515625" style="7" customWidth="1"/>
    <col min="2568" max="2816" width="12.42578125" style="7"/>
    <col min="2817" max="2817" width="57.85546875" style="7" customWidth="1"/>
    <col min="2818" max="2818" width="18.28515625" style="7" customWidth="1"/>
    <col min="2819" max="2819" width="21.140625" style="7" customWidth="1"/>
    <col min="2820" max="2820" width="19.7109375" style="7" customWidth="1"/>
    <col min="2821" max="2821" width="22.28515625" style="7" customWidth="1"/>
    <col min="2822" max="2822" width="12.42578125" style="7"/>
    <col min="2823" max="2823" width="19.28515625" style="7" customWidth="1"/>
    <col min="2824" max="3072" width="12.42578125" style="7"/>
    <col min="3073" max="3073" width="57.85546875" style="7" customWidth="1"/>
    <col min="3074" max="3074" width="18.28515625" style="7" customWidth="1"/>
    <col min="3075" max="3075" width="21.140625" style="7" customWidth="1"/>
    <col min="3076" max="3076" width="19.7109375" style="7" customWidth="1"/>
    <col min="3077" max="3077" width="22.28515625" style="7" customWidth="1"/>
    <col min="3078" max="3078" width="12.42578125" style="7"/>
    <col min="3079" max="3079" width="19.28515625" style="7" customWidth="1"/>
    <col min="3080" max="3328" width="12.42578125" style="7"/>
    <col min="3329" max="3329" width="57.85546875" style="7" customWidth="1"/>
    <col min="3330" max="3330" width="18.28515625" style="7" customWidth="1"/>
    <col min="3331" max="3331" width="21.140625" style="7" customWidth="1"/>
    <col min="3332" max="3332" width="19.7109375" style="7" customWidth="1"/>
    <col min="3333" max="3333" width="22.28515625" style="7" customWidth="1"/>
    <col min="3334" max="3334" width="12.42578125" style="7"/>
    <col min="3335" max="3335" width="19.28515625" style="7" customWidth="1"/>
    <col min="3336" max="3584" width="12.42578125" style="7"/>
    <col min="3585" max="3585" width="57.85546875" style="7" customWidth="1"/>
    <col min="3586" max="3586" width="18.28515625" style="7" customWidth="1"/>
    <col min="3587" max="3587" width="21.140625" style="7" customWidth="1"/>
    <col min="3588" max="3588" width="19.7109375" style="7" customWidth="1"/>
    <col min="3589" max="3589" width="22.28515625" style="7" customWidth="1"/>
    <col min="3590" max="3590" width="12.42578125" style="7"/>
    <col min="3591" max="3591" width="19.28515625" style="7" customWidth="1"/>
    <col min="3592" max="3840" width="12.42578125" style="7"/>
    <col min="3841" max="3841" width="57.85546875" style="7" customWidth="1"/>
    <col min="3842" max="3842" width="18.28515625" style="7" customWidth="1"/>
    <col min="3843" max="3843" width="21.140625" style="7" customWidth="1"/>
    <col min="3844" max="3844" width="19.7109375" style="7" customWidth="1"/>
    <col min="3845" max="3845" width="22.28515625" style="7" customWidth="1"/>
    <col min="3846" max="3846" width="12.42578125" style="7"/>
    <col min="3847" max="3847" width="19.28515625" style="7" customWidth="1"/>
    <col min="3848" max="4096" width="12.42578125" style="7"/>
    <col min="4097" max="4097" width="57.85546875" style="7" customWidth="1"/>
    <col min="4098" max="4098" width="18.28515625" style="7" customWidth="1"/>
    <col min="4099" max="4099" width="21.140625" style="7" customWidth="1"/>
    <col min="4100" max="4100" width="19.7109375" style="7" customWidth="1"/>
    <col min="4101" max="4101" width="22.28515625" style="7" customWidth="1"/>
    <col min="4102" max="4102" width="12.42578125" style="7"/>
    <col min="4103" max="4103" width="19.28515625" style="7" customWidth="1"/>
    <col min="4104" max="4352" width="12.42578125" style="7"/>
    <col min="4353" max="4353" width="57.85546875" style="7" customWidth="1"/>
    <col min="4354" max="4354" width="18.28515625" style="7" customWidth="1"/>
    <col min="4355" max="4355" width="21.140625" style="7" customWidth="1"/>
    <col min="4356" max="4356" width="19.7109375" style="7" customWidth="1"/>
    <col min="4357" max="4357" width="22.28515625" style="7" customWidth="1"/>
    <col min="4358" max="4358" width="12.42578125" style="7"/>
    <col min="4359" max="4359" width="19.28515625" style="7" customWidth="1"/>
    <col min="4360" max="4608" width="12.42578125" style="7"/>
    <col min="4609" max="4609" width="57.85546875" style="7" customWidth="1"/>
    <col min="4610" max="4610" width="18.28515625" style="7" customWidth="1"/>
    <col min="4611" max="4611" width="21.140625" style="7" customWidth="1"/>
    <col min="4612" max="4612" width="19.7109375" style="7" customWidth="1"/>
    <col min="4613" max="4613" width="22.28515625" style="7" customWidth="1"/>
    <col min="4614" max="4614" width="12.42578125" style="7"/>
    <col min="4615" max="4615" width="19.28515625" style="7" customWidth="1"/>
    <col min="4616" max="4864" width="12.42578125" style="7"/>
    <col min="4865" max="4865" width="57.85546875" style="7" customWidth="1"/>
    <col min="4866" max="4866" width="18.28515625" style="7" customWidth="1"/>
    <col min="4867" max="4867" width="21.140625" style="7" customWidth="1"/>
    <col min="4868" max="4868" width="19.7109375" style="7" customWidth="1"/>
    <col min="4869" max="4869" width="22.28515625" style="7" customWidth="1"/>
    <col min="4870" max="4870" width="12.42578125" style="7"/>
    <col min="4871" max="4871" width="19.28515625" style="7" customWidth="1"/>
    <col min="4872" max="5120" width="12.42578125" style="7"/>
    <col min="5121" max="5121" width="57.85546875" style="7" customWidth="1"/>
    <col min="5122" max="5122" width="18.28515625" style="7" customWidth="1"/>
    <col min="5123" max="5123" width="21.140625" style="7" customWidth="1"/>
    <col min="5124" max="5124" width="19.7109375" style="7" customWidth="1"/>
    <col min="5125" max="5125" width="22.28515625" style="7" customWidth="1"/>
    <col min="5126" max="5126" width="12.42578125" style="7"/>
    <col min="5127" max="5127" width="19.28515625" style="7" customWidth="1"/>
    <col min="5128" max="5376" width="12.42578125" style="7"/>
    <col min="5377" max="5377" width="57.85546875" style="7" customWidth="1"/>
    <col min="5378" max="5378" width="18.28515625" style="7" customWidth="1"/>
    <col min="5379" max="5379" width="21.140625" style="7" customWidth="1"/>
    <col min="5380" max="5380" width="19.7109375" style="7" customWidth="1"/>
    <col min="5381" max="5381" width="22.28515625" style="7" customWidth="1"/>
    <col min="5382" max="5382" width="12.42578125" style="7"/>
    <col min="5383" max="5383" width="19.28515625" style="7" customWidth="1"/>
    <col min="5384" max="5632" width="12.42578125" style="7"/>
    <col min="5633" max="5633" width="57.85546875" style="7" customWidth="1"/>
    <col min="5634" max="5634" width="18.28515625" style="7" customWidth="1"/>
    <col min="5635" max="5635" width="21.140625" style="7" customWidth="1"/>
    <col min="5636" max="5636" width="19.7109375" style="7" customWidth="1"/>
    <col min="5637" max="5637" width="22.28515625" style="7" customWidth="1"/>
    <col min="5638" max="5638" width="12.42578125" style="7"/>
    <col min="5639" max="5639" width="19.28515625" style="7" customWidth="1"/>
    <col min="5640" max="5888" width="12.42578125" style="7"/>
    <col min="5889" max="5889" width="57.85546875" style="7" customWidth="1"/>
    <col min="5890" max="5890" width="18.28515625" style="7" customWidth="1"/>
    <col min="5891" max="5891" width="21.140625" style="7" customWidth="1"/>
    <col min="5892" max="5892" width="19.7109375" style="7" customWidth="1"/>
    <col min="5893" max="5893" width="22.28515625" style="7" customWidth="1"/>
    <col min="5894" max="5894" width="12.42578125" style="7"/>
    <col min="5895" max="5895" width="19.28515625" style="7" customWidth="1"/>
    <col min="5896" max="6144" width="12.42578125" style="7"/>
    <col min="6145" max="6145" width="57.85546875" style="7" customWidth="1"/>
    <col min="6146" max="6146" width="18.28515625" style="7" customWidth="1"/>
    <col min="6147" max="6147" width="21.140625" style="7" customWidth="1"/>
    <col min="6148" max="6148" width="19.7109375" style="7" customWidth="1"/>
    <col min="6149" max="6149" width="22.28515625" style="7" customWidth="1"/>
    <col min="6150" max="6150" width="12.42578125" style="7"/>
    <col min="6151" max="6151" width="19.28515625" style="7" customWidth="1"/>
    <col min="6152" max="6400" width="12.42578125" style="7"/>
    <col min="6401" max="6401" width="57.85546875" style="7" customWidth="1"/>
    <col min="6402" max="6402" width="18.28515625" style="7" customWidth="1"/>
    <col min="6403" max="6403" width="21.140625" style="7" customWidth="1"/>
    <col min="6404" max="6404" width="19.7109375" style="7" customWidth="1"/>
    <col min="6405" max="6405" width="22.28515625" style="7" customWidth="1"/>
    <col min="6406" max="6406" width="12.42578125" style="7"/>
    <col min="6407" max="6407" width="19.28515625" style="7" customWidth="1"/>
    <col min="6408" max="6656" width="12.42578125" style="7"/>
    <col min="6657" max="6657" width="57.85546875" style="7" customWidth="1"/>
    <col min="6658" max="6658" width="18.28515625" style="7" customWidth="1"/>
    <col min="6659" max="6659" width="21.140625" style="7" customWidth="1"/>
    <col min="6660" max="6660" width="19.7109375" style="7" customWidth="1"/>
    <col min="6661" max="6661" width="22.28515625" style="7" customWidth="1"/>
    <col min="6662" max="6662" width="12.42578125" style="7"/>
    <col min="6663" max="6663" width="19.28515625" style="7" customWidth="1"/>
    <col min="6664" max="6912" width="12.42578125" style="7"/>
    <col min="6913" max="6913" width="57.85546875" style="7" customWidth="1"/>
    <col min="6914" max="6914" width="18.28515625" style="7" customWidth="1"/>
    <col min="6915" max="6915" width="21.140625" style="7" customWidth="1"/>
    <col min="6916" max="6916" width="19.7109375" style="7" customWidth="1"/>
    <col min="6917" max="6917" width="22.28515625" style="7" customWidth="1"/>
    <col min="6918" max="6918" width="12.42578125" style="7"/>
    <col min="6919" max="6919" width="19.28515625" style="7" customWidth="1"/>
    <col min="6920" max="7168" width="12.42578125" style="7"/>
    <col min="7169" max="7169" width="57.85546875" style="7" customWidth="1"/>
    <col min="7170" max="7170" width="18.28515625" style="7" customWidth="1"/>
    <col min="7171" max="7171" width="21.140625" style="7" customWidth="1"/>
    <col min="7172" max="7172" width="19.7109375" style="7" customWidth="1"/>
    <col min="7173" max="7173" width="22.28515625" style="7" customWidth="1"/>
    <col min="7174" max="7174" width="12.42578125" style="7"/>
    <col min="7175" max="7175" width="19.28515625" style="7" customWidth="1"/>
    <col min="7176" max="7424" width="12.42578125" style="7"/>
    <col min="7425" max="7425" width="57.85546875" style="7" customWidth="1"/>
    <col min="7426" max="7426" width="18.28515625" style="7" customWidth="1"/>
    <col min="7427" max="7427" width="21.140625" style="7" customWidth="1"/>
    <col min="7428" max="7428" width="19.7109375" style="7" customWidth="1"/>
    <col min="7429" max="7429" width="22.28515625" style="7" customWidth="1"/>
    <col min="7430" max="7430" width="12.42578125" style="7"/>
    <col min="7431" max="7431" width="19.28515625" style="7" customWidth="1"/>
    <col min="7432" max="7680" width="12.42578125" style="7"/>
    <col min="7681" max="7681" width="57.85546875" style="7" customWidth="1"/>
    <col min="7682" max="7682" width="18.28515625" style="7" customWidth="1"/>
    <col min="7683" max="7683" width="21.140625" style="7" customWidth="1"/>
    <col min="7684" max="7684" width="19.7109375" style="7" customWidth="1"/>
    <col min="7685" max="7685" width="22.28515625" style="7" customWidth="1"/>
    <col min="7686" max="7686" width="12.42578125" style="7"/>
    <col min="7687" max="7687" width="19.28515625" style="7" customWidth="1"/>
    <col min="7688" max="7936" width="12.42578125" style="7"/>
    <col min="7937" max="7937" width="57.85546875" style="7" customWidth="1"/>
    <col min="7938" max="7938" width="18.28515625" style="7" customWidth="1"/>
    <col min="7939" max="7939" width="21.140625" style="7" customWidth="1"/>
    <col min="7940" max="7940" width="19.7109375" style="7" customWidth="1"/>
    <col min="7941" max="7941" width="22.28515625" style="7" customWidth="1"/>
    <col min="7942" max="7942" width="12.42578125" style="7"/>
    <col min="7943" max="7943" width="19.28515625" style="7" customWidth="1"/>
    <col min="7944" max="8192" width="12.42578125" style="7"/>
    <col min="8193" max="8193" width="57.85546875" style="7" customWidth="1"/>
    <col min="8194" max="8194" width="18.28515625" style="7" customWidth="1"/>
    <col min="8195" max="8195" width="21.140625" style="7" customWidth="1"/>
    <col min="8196" max="8196" width="19.7109375" style="7" customWidth="1"/>
    <col min="8197" max="8197" width="22.28515625" style="7" customWidth="1"/>
    <col min="8198" max="8198" width="12.42578125" style="7"/>
    <col min="8199" max="8199" width="19.28515625" style="7" customWidth="1"/>
    <col min="8200" max="8448" width="12.42578125" style="7"/>
    <col min="8449" max="8449" width="57.85546875" style="7" customWidth="1"/>
    <col min="8450" max="8450" width="18.28515625" style="7" customWidth="1"/>
    <col min="8451" max="8451" width="21.140625" style="7" customWidth="1"/>
    <col min="8452" max="8452" width="19.7109375" style="7" customWidth="1"/>
    <col min="8453" max="8453" width="22.28515625" style="7" customWidth="1"/>
    <col min="8454" max="8454" width="12.42578125" style="7"/>
    <col min="8455" max="8455" width="19.28515625" style="7" customWidth="1"/>
    <col min="8456" max="8704" width="12.42578125" style="7"/>
    <col min="8705" max="8705" width="57.85546875" style="7" customWidth="1"/>
    <col min="8706" max="8706" width="18.28515625" style="7" customWidth="1"/>
    <col min="8707" max="8707" width="21.140625" style="7" customWidth="1"/>
    <col min="8708" max="8708" width="19.7109375" style="7" customWidth="1"/>
    <col min="8709" max="8709" width="22.28515625" style="7" customWidth="1"/>
    <col min="8710" max="8710" width="12.42578125" style="7"/>
    <col min="8711" max="8711" width="19.28515625" style="7" customWidth="1"/>
    <col min="8712" max="8960" width="12.42578125" style="7"/>
    <col min="8961" max="8961" width="57.85546875" style="7" customWidth="1"/>
    <col min="8962" max="8962" width="18.28515625" style="7" customWidth="1"/>
    <col min="8963" max="8963" width="21.140625" style="7" customWidth="1"/>
    <col min="8964" max="8964" width="19.7109375" style="7" customWidth="1"/>
    <col min="8965" max="8965" width="22.28515625" style="7" customWidth="1"/>
    <col min="8966" max="8966" width="12.42578125" style="7"/>
    <col min="8967" max="8967" width="19.28515625" style="7" customWidth="1"/>
    <col min="8968" max="9216" width="12.42578125" style="7"/>
    <col min="9217" max="9217" width="57.85546875" style="7" customWidth="1"/>
    <col min="9218" max="9218" width="18.28515625" style="7" customWidth="1"/>
    <col min="9219" max="9219" width="21.140625" style="7" customWidth="1"/>
    <col min="9220" max="9220" width="19.7109375" style="7" customWidth="1"/>
    <col min="9221" max="9221" width="22.28515625" style="7" customWidth="1"/>
    <col min="9222" max="9222" width="12.42578125" style="7"/>
    <col min="9223" max="9223" width="19.28515625" style="7" customWidth="1"/>
    <col min="9224" max="9472" width="12.42578125" style="7"/>
    <col min="9473" max="9473" width="57.85546875" style="7" customWidth="1"/>
    <col min="9474" max="9474" width="18.28515625" style="7" customWidth="1"/>
    <col min="9475" max="9475" width="21.140625" style="7" customWidth="1"/>
    <col min="9476" max="9476" width="19.7109375" style="7" customWidth="1"/>
    <col min="9477" max="9477" width="22.28515625" style="7" customWidth="1"/>
    <col min="9478" max="9478" width="12.42578125" style="7"/>
    <col min="9479" max="9479" width="19.28515625" style="7" customWidth="1"/>
    <col min="9480" max="9728" width="12.42578125" style="7"/>
    <col min="9729" max="9729" width="57.85546875" style="7" customWidth="1"/>
    <col min="9730" max="9730" width="18.28515625" style="7" customWidth="1"/>
    <col min="9731" max="9731" width="21.140625" style="7" customWidth="1"/>
    <col min="9732" max="9732" width="19.7109375" style="7" customWidth="1"/>
    <col min="9733" max="9733" width="22.28515625" style="7" customWidth="1"/>
    <col min="9734" max="9734" width="12.42578125" style="7"/>
    <col min="9735" max="9735" width="19.28515625" style="7" customWidth="1"/>
    <col min="9736" max="9984" width="12.42578125" style="7"/>
    <col min="9985" max="9985" width="57.85546875" style="7" customWidth="1"/>
    <col min="9986" max="9986" width="18.28515625" style="7" customWidth="1"/>
    <col min="9987" max="9987" width="21.140625" style="7" customWidth="1"/>
    <col min="9988" max="9988" width="19.7109375" style="7" customWidth="1"/>
    <col min="9989" max="9989" width="22.28515625" style="7" customWidth="1"/>
    <col min="9990" max="9990" width="12.42578125" style="7"/>
    <col min="9991" max="9991" width="19.28515625" style="7" customWidth="1"/>
    <col min="9992" max="10240" width="12.42578125" style="7"/>
    <col min="10241" max="10241" width="57.85546875" style="7" customWidth="1"/>
    <col min="10242" max="10242" width="18.28515625" style="7" customWidth="1"/>
    <col min="10243" max="10243" width="21.140625" style="7" customWidth="1"/>
    <col min="10244" max="10244" width="19.7109375" style="7" customWidth="1"/>
    <col min="10245" max="10245" width="22.28515625" style="7" customWidth="1"/>
    <col min="10246" max="10246" width="12.42578125" style="7"/>
    <col min="10247" max="10247" width="19.28515625" style="7" customWidth="1"/>
    <col min="10248" max="10496" width="12.42578125" style="7"/>
    <col min="10497" max="10497" width="57.85546875" style="7" customWidth="1"/>
    <col min="10498" max="10498" width="18.28515625" style="7" customWidth="1"/>
    <col min="10499" max="10499" width="21.140625" style="7" customWidth="1"/>
    <col min="10500" max="10500" width="19.7109375" style="7" customWidth="1"/>
    <col min="10501" max="10501" width="22.28515625" style="7" customWidth="1"/>
    <col min="10502" max="10502" width="12.42578125" style="7"/>
    <col min="10503" max="10503" width="19.28515625" style="7" customWidth="1"/>
    <col min="10504" max="10752" width="12.42578125" style="7"/>
    <col min="10753" max="10753" width="57.85546875" style="7" customWidth="1"/>
    <col min="10754" max="10754" width="18.28515625" style="7" customWidth="1"/>
    <col min="10755" max="10755" width="21.140625" style="7" customWidth="1"/>
    <col min="10756" max="10756" width="19.7109375" style="7" customWidth="1"/>
    <col min="10757" max="10757" width="22.28515625" style="7" customWidth="1"/>
    <col min="10758" max="10758" width="12.42578125" style="7"/>
    <col min="10759" max="10759" width="19.28515625" style="7" customWidth="1"/>
    <col min="10760" max="11008" width="12.42578125" style="7"/>
    <col min="11009" max="11009" width="57.85546875" style="7" customWidth="1"/>
    <col min="11010" max="11010" width="18.28515625" style="7" customWidth="1"/>
    <col min="11011" max="11011" width="21.140625" style="7" customWidth="1"/>
    <col min="11012" max="11012" width="19.7109375" style="7" customWidth="1"/>
    <col min="11013" max="11013" width="22.28515625" style="7" customWidth="1"/>
    <col min="11014" max="11014" width="12.42578125" style="7"/>
    <col min="11015" max="11015" width="19.28515625" style="7" customWidth="1"/>
    <col min="11016" max="11264" width="12.42578125" style="7"/>
    <col min="11265" max="11265" width="57.85546875" style="7" customWidth="1"/>
    <col min="11266" max="11266" width="18.28515625" style="7" customWidth="1"/>
    <col min="11267" max="11267" width="21.140625" style="7" customWidth="1"/>
    <col min="11268" max="11268" width="19.7109375" style="7" customWidth="1"/>
    <col min="11269" max="11269" width="22.28515625" style="7" customWidth="1"/>
    <col min="11270" max="11270" width="12.42578125" style="7"/>
    <col min="11271" max="11271" width="19.28515625" style="7" customWidth="1"/>
    <col min="11272" max="11520" width="12.42578125" style="7"/>
    <col min="11521" max="11521" width="57.85546875" style="7" customWidth="1"/>
    <col min="11522" max="11522" width="18.28515625" style="7" customWidth="1"/>
    <col min="11523" max="11523" width="21.140625" style="7" customWidth="1"/>
    <col min="11524" max="11524" width="19.7109375" style="7" customWidth="1"/>
    <col min="11525" max="11525" width="22.28515625" style="7" customWidth="1"/>
    <col min="11526" max="11526" width="12.42578125" style="7"/>
    <col min="11527" max="11527" width="19.28515625" style="7" customWidth="1"/>
    <col min="11528" max="11776" width="12.42578125" style="7"/>
    <col min="11777" max="11777" width="57.85546875" style="7" customWidth="1"/>
    <col min="11778" max="11778" width="18.28515625" style="7" customWidth="1"/>
    <col min="11779" max="11779" width="21.140625" style="7" customWidth="1"/>
    <col min="11780" max="11780" width="19.7109375" style="7" customWidth="1"/>
    <col min="11781" max="11781" width="22.28515625" style="7" customWidth="1"/>
    <col min="11782" max="11782" width="12.42578125" style="7"/>
    <col min="11783" max="11783" width="19.28515625" style="7" customWidth="1"/>
    <col min="11784" max="12032" width="12.42578125" style="7"/>
    <col min="12033" max="12033" width="57.85546875" style="7" customWidth="1"/>
    <col min="12034" max="12034" width="18.28515625" style="7" customWidth="1"/>
    <col min="12035" max="12035" width="21.140625" style="7" customWidth="1"/>
    <col min="12036" max="12036" width="19.7109375" style="7" customWidth="1"/>
    <col min="12037" max="12037" width="22.28515625" style="7" customWidth="1"/>
    <col min="12038" max="12038" width="12.42578125" style="7"/>
    <col min="12039" max="12039" width="19.28515625" style="7" customWidth="1"/>
    <col min="12040" max="12288" width="12.42578125" style="7"/>
    <col min="12289" max="12289" width="57.85546875" style="7" customWidth="1"/>
    <col min="12290" max="12290" width="18.28515625" style="7" customWidth="1"/>
    <col min="12291" max="12291" width="21.140625" style="7" customWidth="1"/>
    <col min="12292" max="12292" width="19.7109375" style="7" customWidth="1"/>
    <col min="12293" max="12293" width="22.28515625" style="7" customWidth="1"/>
    <col min="12294" max="12294" width="12.42578125" style="7"/>
    <col min="12295" max="12295" width="19.28515625" style="7" customWidth="1"/>
    <col min="12296" max="12544" width="12.42578125" style="7"/>
    <col min="12545" max="12545" width="57.85546875" style="7" customWidth="1"/>
    <col min="12546" max="12546" width="18.28515625" style="7" customWidth="1"/>
    <col min="12547" max="12547" width="21.140625" style="7" customWidth="1"/>
    <col min="12548" max="12548" width="19.7109375" style="7" customWidth="1"/>
    <col min="12549" max="12549" width="22.28515625" style="7" customWidth="1"/>
    <col min="12550" max="12550" width="12.42578125" style="7"/>
    <col min="12551" max="12551" width="19.28515625" style="7" customWidth="1"/>
    <col min="12552" max="12800" width="12.42578125" style="7"/>
    <col min="12801" max="12801" width="57.85546875" style="7" customWidth="1"/>
    <col min="12802" max="12802" width="18.28515625" style="7" customWidth="1"/>
    <col min="12803" max="12803" width="21.140625" style="7" customWidth="1"/>
    <col min="12804" max="12804" width="19.7109375" style="7" customWidth="1"/>
    <col min="12805" max="12805" width="22.28515625" style="7" customWidth="1"/>
    <col min="12806" max="12806" width="12.42578125" style="7"/>
    <col min="12807" max="12807" width="19.28515625" style="7" customWidth="1"/>
    <col min="12808" max="13056" width="12.42578125" style="7"/>
    <col min="13057" max="13057" width="57.85546875" style="7" customWidth="1"/>
    <col min="13058" max="13058" width="18.28515625" style="7" customWidth="1"/>
    <col min="13059" max="13059" width="21.140625" style="7" customWidth="1"/>
    <col min="13060" max="13060" width="19.7109375" style="7" customWidth="1"/>
    <col min="13061" max="13061" width="22.28515625" style="7" customWidth="1"/>
    <col min="13062" max="13062" width="12.42578125" style="7"/>
    <col min="13063" max="13063" width="19.28515625" style="7" customWidth="1"/>
    <col min="13064" max="13312" width="12.42578125" style="7"/>
    <col min="13313" max="13313" width="57.85546875" style="7" customWidth="1"/>
    <col min="13314" max="13314" width="18.28515625" style="7" customWidth="1"/>
    <col min="13315" max="13315" width="21.140625" style="7" customWidth="1"/>
    <col min="13316" max="13316" width="19.7109375" style="7" customWidth="1"/>
    <col min="13317" max="13317" width="22.28515625" style="7" customWidth="1"/>
    <col min="13318" max="13318" width="12.42578125" style="7"/>
    <col min="13319" max="13319" width="19.28515625" style="7" customWidth="1"/>
    <col min="13320" max="13568" width="12.42578125" style="7"/>
    <col min="13569" max="13569" width="57.85546875" style="7" customWidth="1"/>
    <col min="13570" max="13570" width="18.28515625" style="7" customWidth="1"/>
    <col min="13571" max="13571" width="21.140625" style="7" customWidth="1"/>
    <col min="13572" max="13572" width="19.7109375" style="7" customWidth="1"/>
    <col min="13573" max="13573" width="22.28515625" style="7" customWidth="1"/>
    <col min="13574" max="13574" width="12.42578125" style="7"/>
    <col min="13575" max="13575" width="19.28515625" style="7" customWidth="1"/>
    <col min="13576" max="13824" width="12.42578125" style="7"/>
    <col min="13825" max="13825" width="57.85546875" style="7" customWidth="1"/>
    <col min="13826" max="13826" width="18.28515625" style="7" customWidth="1"/>
    <col min="13827" max="13827" width="21.140625" style="7" customWidth="1"/>
    <col min="13828" max="13828" width="19.7109375" style="7" customWidth="1"/>
    <col min="13829" max="13829" width="22.28515625" style="7" customWidth="1"/>
    <col min="13830" max="13830" width="12.42578125" style="7"/>
    <col min="13831" max="13831" width="19.28515625" style="7" customWidth="1"/>
    <col min="13832" max="14080" width="12.42578125" style="7"/>
    <col min="14081" max="14081" width="57.85546875" style="7" customWidth="1"/>
    <col min="14082" max="14082" width="18.28515625" style="7" customWidth="1"/>
    <col min="14083" max="14083" width="21.140625" style="7" customWidth="1"/>
    <col min="14084" max="14084" width="19.7109375" style="7" customWidth="1"/>
    <col min="14085" max="14085" width="22.28515625" style="7" customWidth="1"/>
    <col min="14086" max="14086" width="12.42578125" style="7"/>
    <col min="14087" max="14087" width="19.28515625" style="7" customWidth="1"/>
    <col min="14088" max="14336" width="12.42578125" style="7"/>
    <col min="14337" max="14337" width="57.85546875" style="7" customWidth="1"/>
    <col min="14338" max="14338" width="18.28515625" style="7" customWidth="1"/>
    <col min="14339" max="14339" width="21.140625" style="7" customWidth="1"/>
    <col min="14340" max="14340" width="19.7109375" style="7" customWidth="1"/>
    <col min="14341" max="14341" width="22.28515625" style="7" customWidth="1"/>
    <col min="14342" max="14342" width="12.42578125" style="7"/>
    <col min="14343" max="14343" width="19.28515625" style="7" customWidth="1"/>
    <col min="14344" max="14592" width="12.42578125" style="7"/>
    <col min="14593" max="14593" width="57.85546875" style="7" customWidth="1"/>
    <col min="14594" max="14594" width="18.28515625" style="7" customWidth="1"/>
    <col min="14595" max="14595" width="21.140625" style="7" customWidth="1"/>
    <col min="14596" max="14596" width="19.7109375" style="7" customWidth="1"/>
    <col min="14597" max="14597" width="22.28515625" style="7" customWidth="1"/>
    <col min="14598" max="14598" width="12.42578125" style="7"/>
    <col min="14599" max="14599" width="19.28515625" style="7" customWidth="1"/>
    <col min="14600" max="14848" width="12.42578125" style="7"/>
    <col min="14849" max="14849" width="57.85546875" style="7" customWidth="1"/>
    <col min="14850" max="14850" width="18.28515625" style="7" customWidth="1"/>
    <col min="14851" max="14851" width="21.140625" style="7" customWidth="1"/>
    <col min="14852" max="14852" width="19.7109375" style="7" customWidth="1"/>
    <col min="14853" max="14853" width="22.28515625" style="7" customWidth="1"/>
    <col min="14854" max="14854" width="12.42578125" style="7"/>
    <col min="14855" max="14855" width="19.28515625" style="7" customWidth="1"/>
    <col min="14856" max="15104" width="12.42578125" style="7"/>
    <col min="15105" max="15105" width="57.85546875" style="7" customWidth="1"/>
    <col min="15106" max="15106" width="18.28515625" style="7" customWidth="1"/>
    <col min="15107" max="15107" width="21.140625" style="7" customWidth="1"/>
    <col min="15108" max="15108" width="19.7109375" style="7" customWidth="1"/>
    <col min="15109" max="15109" width="22.28515625" style="7" customWidth="1"/>
    <col min="15110" max="15110" width="12.42578125" style="7"/>
    <col min="15111" max="15111" width="19.28515625" style="7" customWidth="1"/>
    <col min="15112" max="15360" width="12.42578125" style="7"/>
    <col min="15361" max="15361" width="57.85546875" style="7" customWidth="1"/>
    <col min="15362" max="15362" width="18.28515625" style="7" customWidth="1"/>
    <col min="15363" max="15363" width="21.140625" style="7" customWidth="1"/>
    <col min="15364" max="15364" width="19.7109375" style="7" customWidth="1"/>
    <col min="15365" max="15365" width="22.28515625" style="7" customWidth="1"/>
    <col min="15366" max="15366" width="12.42578125" style="7"/>
    <col min="15367" max="15367" width="19.28515625" style="7" customWidth="1"/>
    <col min="15368" max="15616" width="12.42578125" style="7"/>
    <col min="15617" max="15617" width="57.85546875" style="7" customWidth="1"/>
    <col min="15618" max="15618" width="18.28515625" style="7" customWidth="1"/>
    <col min="15619" max="15619" width="21.140625" style="7" customWidth="1"/>
    <col min="15620" max="15620" width="19.7109375" style="7" customWidth="1"/>
    <col min="15621" max="15621" width="22.28515625" style="7" customWidth="1"/>
    <col min="15622" max="15622" width="12.42578125" style="7"/>
    <col min="15623" max="15623" width="19.28515625" style="7" customWidth="1"/>
    <col min="15624" max="15872" width="12.42578125" style="7"/>
    <col min="15873" max="15873" width="57.85546875" style="7" customWidth="1"/>
    <col min="15874" max="15874" width="18.28515625" style="7" customWidth="1"/>
    <col min="15875" max="15875" width="21.140625" style="7" customWidth="1"/>
    <col min="15876" max="15876" width="19.7109375" style="7" customWidth="1"/>
    <col min="15877" max="15877" width="22.28515625" style="7" customWidth="1"/>
    <col min="15878" max="15878" width="12.42578125" style="7"/>
    <col min="15879" max="15879" width="19.28515625" style="7" customWidth="1"/>
    <col min="15880" max="16128" width="12.42578125" style="7"/>
    <col min="16129" max="16129" width="57.85546875" style="7" customWidth="1"/>
    <col min="16130" max="16130" width="18.28515625" style="7" customWidth="1"/>
    <col min="16131" max="16131" width="21.140625" style="7" customWidth="1"/>
    <col min="16132" max="16132" width="19.7109375" style="7" customWidth="1"/>
    <col min="16133" max="16133" width="22.28515625" style="7" customWidth="1"/>
    <col min="16134" max="16134" width="12.42578125" style="7"/>
    <col min="16135" max="16135" width="19.28515625" style="7" customWidth="1"/>
    <col min="16136" max="16384" width="12.42578125" style="7"/>
  </cols>
  <sheetData>
    <row r="1" spans="1:12">
      <c r="F1" s="9"/>
      <c r="G1" s="9"/>
      <c r="H1" s="9"/>
      <c r="I1" s="9"/>
      <c r="J1" s="9"/>
      <c r="K1" s="9"/>
      <c r="L1" s="9"/>
    </row>
    <row r="2" spans="1:12">
      <c r="F2" s="9"/>
      <c r="G2" s="9"/>
      <c r="H2" s="9"/>
      <c r="I2" s="9"/>
      <c r="J2" s="9"/>
      <c r="K2" s="9"/>
      <c r="L2" s="9"/>
    </row>
    <row r="3" spans="1:12" ht="15.75">
      <c r="A3" s="10" t="s">
        <v>127</v>
      </c>
      <c r="B3" s="11"/>
      <c r="C3" s="11"/>
      <c r="D3" s="11"/>
      <c r="E3" s="12"/>
      <c r="F3" s="9"/>
      <c r="G3" s="9"/>
      <c r="H3" s="9"/>
      <c r="I3" s="9"/>
      <c r="J3" s="9"/>
      <c r="K3" s="9"/>
      <c r="L3" s="9"/>
    </row>
    <row r="4" spans="1:12">
      <c r="A4" s="12"/>
      <c r="B4" s="11"/>
      <c r="C4" s="11"/>
      <c r="D4" s="11"/>
      <c r="E4" s="12"/>
      <c r="F4" s="9"/>
      <c r="G4" s="9"/>
      <c r="H4" s="9"/>
      <c r="I4" s="9"/>
      <c r="J4" s="9"/>
      <c r="K4" s="9"/>
      <c r="L4" s="9"/>
    </row>
    <row r="5" spans="1:12" ht="15.75">
      <c r="A5" s="13" t="s">
        <v>128</v>
      </c>
      <c r="B5" s="11"/>
      <c r="C5" s="11"/>
      <c r="D5" s="11"/>
      <c r="E5" s="12"/>
      <c r="F5" s="9"/>
      <c r="G5" s="9"/>
      <c r="H5" s="9"/>
      <c r="I5" s="9"/>
      <c r="J5" s="9"/>
      <c r="K5" s="9"/>
      <c r="L5" s="9"/>
    </row>
    <row r="6" spans="1:12">
      <c r="A6" s="12" t="s">
        <v>129</v>
      </c>
      <c r="B6" s="14">
        <v>8</v>
      </c>
      <c r="C6" s="15" t="s">
        <v>130</v>
      </c>
      <c r="D6" s="14">
        <v>113.74999999999999</v>
      </c>
      <c r="E6" s="16">
        <f>ROUND(D6*B6,2)</f>
        <v>910</v>
      </c>
      <c r="F6" s="9"/>
      <c r="G6" s="9"/>
      <c r="H6" s="9"/>
      <c r="I6" s="9"/>
      <c r="J6" s="9"/>
      <c r="K6" s="9"/>
      <c r="L6" s="9"/>
    </row>
    <row r="7" spans="1:12">
      <c r="A7" s="12" t="s">
        <v>131</v>
      </c>
      <c r="B7" s="14">
        <f>4*8</f>
        <v>32</v>
      </c>
      <c r="C7" s="15" t="s">
        <v>130</v>
      </c>
      <c r="D7" s="14">
        <v>71.58</v>
      </c>
      <c r="E7" s="16">
        <f>ROUND(D7*B7,2)</f>
        <v>2290.56</v>
      </c>
      <c r="F7" s="17"/>
      <c r="G7" s="9"/>
      <c r="H7" s="9"/>
      <c r="I7" s="9"/>
      <c r="J7" s="9"/>
      <c r="K7" s="9"/>
      <c r="L7" s="9"/>
    </row>
    <row r="8" spans="1:12">
      <c r="A8" s="12"/>
      <c r="B8" s="14"/>
      <c r="C8" s="15"/>
      <c r="D8" s="14"/>
      <c r="E8" s="16"/>
      <c r="F8" s="9"/>
      <c r="G8" s="9"/>
      <c r="H8" s="9"/>
      <c r="I8" s="9"/>
      <c r="J8" s="9"/>
      <c r="K8" s="9"/>
      <c r="L8" s="9"/>
    </row>
    <row r="9" spans="1:12" ht="15.75">
      <c r="A9" s="12"/>
      <c r="B9" s="11"/>
      <c r="C9" s="18" t="s">
        <v>132</v>
      </c>
      <c r="D9" s="18"/>
      <c r="E9" s="19">
        <f>E7+E6</f>
        <v>3200.56</v>
      </c>
      <c r="F9" s="9"/>
      <c r="G9" s="9"/>
      <c r="H9" s="9"/>
      <c r="I9" s="9"/>
      <c r="J9" s="9"/>
      <c r="K9" s="9"/>
      <c r="L9" s="9"/>
    </row>
    <row r="10" spans="1:12" ht="15.75">
      <c r="A10" s="12"/>
      <c r="B10" s="11"/>
      <c r="C10" s="18" t="s">
        <v>133</v>
      </c>
      <c r="D10" s="18"/>
      <c r="E10" s="19">
        <f>E9/8</f>
        <v>400.07</v>
      </c>
      <c r="F10" s="9"/>
      <c r="G10" s="9"/>
      <c r="H10" s="9"/>
      <c r="I10" s="9"/>
      <c r="J10" s="9"/>
      <c r="K10" s="9"/>
      <c r="L10" s="9"/>
    </row>
    <row r="11" spans="1:12" ht="15.75">
      <c r="A11" s="12" t="s">
        <v>134</v>
      </c>
      <c r="B11" s="11">
        <v>6</v>
      </c>
      <c r="C11" s="11" t="s">
        <v>135</v>
      </c>
      <c r="D11" s="20" t="s">
        <v>136</v>
      </c>
      <c r="E11" s="19">
        <f>E9/B11</f>
        <v>533.42666666666662</v>
      </c>
      <c r="F11" s="9"/>
      <c r="G11" s="9"/>
      <c r="H11" s="9"/>
      <c r="I11" s="9"/>
      <c r="J11" s="9"/>
      <c r="K11" s="9"/>
      <c r="L11" s="9"/>
    </row>
    <row r="12" spans="1:12">
      <c r="A12" s="12"/>
      <c r="B12" s="11"/>
      <c r="C12" s="11"/>
      <c r="D12" s="11"/>
      <c r="E12" s="12"/>
      <c r="F12" s="9"/>
      <c r="G12" s="9"/>
      <c r="H12" s="9"/>
      <c r="I12" s="9"/>
      <c r="J12" s="9"/>
      <c r="K12" s="9"/>
      <c r="L12" s="9"/>
    </row>
    <row r="13" spans="1:12" ht="15.75">
      <c r="A13" s="13" t="s">
        <v>137</v>
      </c>
      <c r="B13" s="11"/>
      <c r="C13" s="11"/>
      <c r="D13" s="11"/>
      <c r="E13" s="12"/>
      <c r="F13" s="9"/>
      <c r="G13" s="9"/>
      <c r="H13" s="9"/>
      <c r="I13" s="9"/>
      <c r="J13" s="9"/>
      <c r="K13" s="9"/>
      <c r="L13" s="9"/>
    </row>
    <row r="14" spans="1:12">
      <c r="A14" s="12" t="s">
        <v>138</v>
      </c>
      <c r="B14" s="14">
        <v>8</v>
      </c>
      <c r="C14" s="21" t="s">
        <v>130</v>
      </c>
      <c r="D14" s="14">
        <v>214.91</v>
      </c>
      <c r="E14" s="16">
        <f>ROUND(D14*B14,2)</f>
        <v>1719.28</v>
      </c>
      <c r="F14" s="9"/>
      <c r="G14" s="9"/>
      <c r="H14" s="9"/>
      <c r="I14" s="9"/>
      <c r="J14" s="9"/>
      <c r="K14" s="9"/>
      <c r="L14" s="9"/>
    </row>
    <row r="15" spans="1:12">
      <c r="A15" s="12" t="s">
        <v>139</v>
      </c>
      <c r="B15" s="14">
        <v>16</v>
      </c>
      <c r="C15" s="21" t="s">
        <v>130</v>
      </c>
      <c r="D15" s="14">
        <v>136.44999999999999</v>
      </c>
      <c r="E15" s="16">
        <f>ROUND(D15*B15,2)</f>
        <v>2183.1999999999998</v>
      </c>
      <c r="F15" s="9"/>
      <c r="G15" s="9"/>
      <c r="H15" s="9"/>
      <c r="I15" s="9"/>
      <c r="J15" s="9"/>
      <c r="K15" s="9"/>
      <c r="L15" s="9"/>
    </row>
    <row r="16" spans="1:12">
      <c r="A16" s="12" t="s">
        <v>140</v>
      </c>
      <c r="B16" s="14">
        <f>3*8</f>
        <v>24</v>
      </c>
      <c r="C16" s="21" t="s">
        <v>130</v>
      </c>
      <c r="D16" s="14">
        <v>92.08</v>
      </c>
      <c r="E16" s="16">
        <f>ROUND(D16*B16,2)</f>
        <v>2209.92</v>
      </c>
      <c r="F16" s="9"/>
      <c r="G16" s="9"/>
      <c r="H16" s="9"/>
      <c r="I16" s="9"/>
      <c r="J16" s="9"/>
      <c r="K16" s="9"/>
      <c r="L16" s="9"/>
    </row>
    <row r="17" spans="1:13">
      <c r="A17" s="12"/>
      <c r="B17" s="14"/>
      <c r="C17" s="15"/>
      <c r="D17" s="14"/>
      <c r="E17" s="16"/>
      <c r="F17" s="9"/>
      <c r="G17" s="9"/>
      <c r="H17" s="9"/>
      <c r="I17" s="9"/>
      <c r="J17" s="9"/>
      <c r="K17" s="9"/>
      <c r="L17" s="9"/>
    </row>
    <row r="18" spans="1:13" ht="15.75">
      <c r="A18" s="12"/>
      <c r="B18" s="11"/>
      <c r="C18" s="18" t="s">
        <v>132</v>
      </c>
      <c r="D18" s="18"/>
      <c r="E18" s="19">
        <f>SUM(E14:E16)</f>
        <v>6112.4</v>
      </c>
      <c r="F18" s="9"/>
      <c r="G18" s="9"/>
      <c r="H18" s="9"/>
      <c r="I18" s="9"/>
      <c r="J18" s="9"/>
      <c r="K18" s="9"/>
      <c r="L18" s="9"/>
    </row>
    <row r="19" spans="1:13" ht="15.75">
      <c r="A19" s="12"/>
      <c r="B19" s="11"/>
      <c r="C19" s="18" t="s">
        <v>133</v>
      </c>
      <c r="D19" s="18"/>
      <c r="E19" s="19">
        <f>E18/8</f>
        <v>764.05</v>
      </c>
      <c r="F19" s="9"/>
      <c r="G19" s="9"/>
      <c r="H19" s="9"/>
      <c r="I19" s="9"/>
      <c r="J19" s="9"/>
      <c r="K19" s="9"/>
      <c r="L19" s="9"/>
    </row>
    <row r="20" spans="1:13" ht="15.75">
      <c r="A20" s="12"/>
      <c r="B20" s="11"/>
      <c r="C20" s="18"/>
      <c r="D20" s="18"/>
      <c r="E20" s="19"/>
      <c r="F20" s="9"/>
      <c r="G20" s="9"/>
      <c r="H20" s="9"/>
      <c r="I20" s="9"/>
      <c r="J20" s="9"/>
      <c r="K20" s="9"/>
      <c r="L20" s="9"/>
    </row>
    <row r="21" spans="1:13" ht="15.75">
      <c r="A21" s="22" t="s">
        <v>141</v>
      </c>
      <c r="B21" s="18" t="s">
        <v>142</v>
      </c>
      <c r="C21" s="23" t="s">
        <v>143</v>
      </c>
      <c r="D21" s="18" t="s">
        <v>144</v>
      </c>
      <c r="E21" s="13" t="s">
        <v>145</v>
      </c>
      <c r="F21" s="9"/>
      <c r="G21" s="9"/>
      <c r="H21" s="9"/>
      <c r="I21" s="9"/>
      <c r="J21" s="9"/>
      <c r="K21" s="9"/>
      <c r="L21" s="9"/>
    </row>
    <row r="22" spans="1:13">
      <c r="A22" s="12" t="s">
        <v>146</v>
      </c>
      <c r="B22" s="14">
        <v>30</v>
      </c>
      <c r="C22" s="21" t="s">
        <v>0</v>
      </c>
      <c r="D22" s="24">
        <v>283.89</v>
      </c>
      <c r="E22" s="8">
        <v>90</v>
      </c>
      <c r="F22" s="25"/>
      <c r="G22" s="9"/>
      <c r="H22" s="9" t="s">
        <v>147</v>
      </c>
      <c r="I22" s="9">
        <v>1719.25</v>
      </c>
      <c r="J22" s="9">
        <f>+I22/8</f>
        <v>214.90625</v>
      </c>
      <c r="K22" s="26" t="s">
        <v>148</v>
      </c>
      <c r="L22" s="9">
        <v>1363.99</v>
      </c>
      <c r="M22" s="7">
        <f>+L22/8</f>
        <v>170.49875</v>
      </c>
    </row>
    <row r="23" spans="1:13">
      <c r="A23" s="12" t="s">
        <v>149</v>
      </c>
      <c r="B23" s="11">
        <v>80</v>
      </c>
      <c r="C23" s="21" t="s">
        <v>36</v>
      </c>
      <c r="D23" s="24">
        <v>94.62</v>
      </c>
      <c r="E23" s="8">
        <v>25</v>
      </c>
      <c r="F23" s="9"/>
      <c r="G23" s="9"/>
      <c r="H23" s="9" t="s">
        <v>150</v>
      </c>
      <c r="I23" s="9">
        <v>1091.6300000000001</v>
      </c>
      <c r="J23" s="9">
        <f>+I23/8</f>
        <v>136.45375000000001</v>
      </c>
      <c r="K23" s="9"/>
      <c r="L23" s="9"/>
    </row>
    <row r="24" spans="1:13">
      <c r="A24" s="12" t="s">
        <v>151</v>
      </c>
      <c r="B24" s="7"/>
      <c r="C24" s="21" t="s">
        <v>36</v>
      </c>
      <c r="D24" s="27">
        <v>94.62</v>
      </c>
      <c r="E24" s="11">
        <v>20</v>
      </c>
      <c r="F24" s="9"/>
      <c r="G24" s="9"/>
      <c r="H24" s="9" t="s">
        <v>152</v>
      </c>
      <c r="I24" s="9">
        <v>736.63</v>
      </c>
      <c r="J24" s="9">
        <f>+I24/8</f>
        <v>92.078749999999999</v>
      </c>
      <c r="K24" s="9"/>
      <c r="L24" s="9"/>
    </row>
    <row r="25" spans="1:13">
      <c r="A25" s="12" t="s">
        <v>153</v>
      </c>
      <c r="B25" s="7"/>
      <c r="C25" s="21" t="s">
        <v>36</v>
      </c>
      <c r="D25" s="27">
        <v>94.62</v>
      </c>
      <c r="E25" s="11">
        <v>20</v>
      </c>
      <c r="F25" s="9"/>
      <c r="G25" s="9"/>
      <c r="H25" s="9" t="s">
        <v>154</v>
      </c>
      <c r="I25" s="9">
        <v>572.64</v>
      </c>
      <c r="J25" s="9">
        <f>+I25/8</f>
        <v>71.58</v>
      </c>
      <c r="K25" s="9"/>
      <c r="L25" s="9"/>
    </row>
    <row r="26" spans="1:13">
      <c r="A26" s="12" t="s">
        <v>155</v>
      </c>
      <c r="B26" s="7"/>
      <c r="C26" s="21" t="s">
        <v>11</v>
      </c>
      <c r="D26" s="27">
        <v>5.5</v>
      </c>
      <c r="E26" s="11">
        <v>4.5</v>
      </c>
      <c r="F26" s="9" t="s">
        <v>156</v>
      </c>
      <c r="G26" s="9"/>
      <c r="H26" s="9"/>
      <c r="I26" s="9"/>
      <c r="J26" s="9"/>
      <c r="K26" s="9"/>
      <c r="L26" s="9"/>
    </row>
    <row r="27" spans="1:13">
      <c r="A27" s="12" t="s">
        <v>157</v>
      </c>
      <c r="B27" s="7"/>
      <c r="C27" s="21" t="s">
        <v>29</v>
      </c>
      <c r="D27" s="27">
        <v>4000</v>
      </c>
      <c r="E27" s="11">
        <f>1500*2</f>
        <v>3000</v>
      </c>
      <c r="F27" s="9"/>
      <c r="G27" s="9"/>
      <c r="H27" s="9"/>
      <c r="I27" s="9"/>
      <c r="J27" s="9"/>
      <c r="K27" s="9"/>
      <c r="L27" s="9"/>
    </row>
    <row r="28" spans="1:13">
      <c r="A28" s="12" t="s">
        <v>158</v>
      </c>
      <c r="B28" s="7"/>
      <c r="C28" s="21" t="s">
        <v>0</v>
      </c>
      <c r="D28" s="28">
        <f>+D22</f>
        <v>283.89</v>
      </c>
      <c r="E28" s="11">
        <v>90</v>
      </c>
      <c r="F28" s="9"/>
      <c r="G28" s="9"/>
      <c r="H28" s="9"/>
      <c r="I28" s="9"/>
      <c r="J28" s="9"/>
      <c r="K28" s="9"/>
      <c r="L28" s="9"/>
    </row>
    <row r="29" spans="1:13">
      <c r="A29" s="12" t="s">
        <v>28</v>
      </c>
      <c r="B29" s="7"/>
      <c r="C29" s="21" t="s">
        <v>0</v>
      </c>
      <c r="D29" s="28">
        <v>1</v>
      </c>
      <c r="E29" s="11"/>
      <c r="F29" s="9"/>
      <c r="G29" s="9"/>
      <c r="H29" s="9"/>
      <c r="I29" s="9"/>
      <c r="J29" s="9"/>
      <c r="K29" s="9"/>
      <c r="L29" s="9"/>
    </row>
    <row r="30" spans="1:13">
      <c r="A30" s="12" t="s">
        <v>159</v>
      </c>
      <c r="B30" s="7"/>
      <c r="C30" s="21" t="s">
        <v>0</v>
      </c>
      <c r="D30" s="28">
        <v>1.25</v>
      </c>
      <c r="E30" s="11"/>
      <c r="F30" s="9"/>
      <c r="G30" s="9"/>
      <c r="H30" s="9"/>
      <c r="I30" s="9"/>
      <c r="J30" s="9"/>
      <c r="K30" s="9"/>
      <c r="L30" s="9"/>
    </row>
    <row r="31" spans="1:13">
      <c r="B31" s="7"/>
      <c r="C31" s="7"/>
      <c r="D31" s="11"/>
      <c r="E31" s="11"/>
      <c r="F31" s="9"/>
      <c r="G31" s="9"/>
      <c r="H31" s="9"/>
      <c r="I31" s="9"/>
      <c r="J31" s="9"/>
      <c r="K31" s="9"/>
      <c r="L31" s="9"/>
    </row>
    <row r="32" spans="1:13">
      <c r="B32" s="7"/>
      <c r="C32" s="7"/>
      <c r="D32" s="11"/>
      <c r="E32" s="11"/>
      <c r="F32" s="9"/>
      <c r="G32" s="9"/>
      <c r="H32" s="9"/>
      <c r="I32" s="9"/>
      <c r="J32" s="9"/>
      <c r="K32" s="9"/>
      <c r="L32" s="9"/>
    </row>
    <row r="33" spans="1:12">
      <c r="B33" s="7"/>
      <c r="C33" s="7"/>
      <c r="D33" s="11"/>
      <c r="E33" s="11"/>
      <c r="F33" s="9"/>
      <c r="G33" s="9"/>
      <c r="H33" s="9"/>
      <c r="I33" s="9"/>
      <c r="J33" s="9"/>
      <c r="K33" s="9"/>
      <c r="L33" s="9"/>
    </row>
    <row r="34" spans="1:12">
      <c r="B34" s="7"/>
      <c r="C34" s="7"/>
      <c r="D34" s="11"/>
      <c r="E34" s="11"/>
      <c r="F34" s="9"/>
      <c r="G34" s="9"/>
      <c r="H34" s="9"/>
      <c r="I34" s="9"/>
      <c r="J34" s="9"/>
      <c r="K34" s="9"/>
      <c r="L34" s="9"/>
    </row>
    <row r="35" spans="1:12" ht="15.75">
      <c r="A35" s="13" t="s">
        <v>160</v>
      </c>
      <c r="B35" s="11"/>
      <c r="C35" s="15"/>
      <c r="D35" s="11"/>
      <c r="E35" s="12"/>
      <c r="F35" s="9"/>
      <c r="G35" s="9"/>
      <c r="H35" s="9"/>
      <c r="I35" s="9"/>
      <c r="J35" s="9"/>
      <c r="K35" s="9"/>
      <c r="L35" s="9"/>
    </row>
    <row r="36" spans="1:12">
      <c r="A36" s="12" t="s">
        <v>161</v>
      </c>
      <c r="B36" s="14">
        <v>8</v>
      </c>
      <c r="C36" s="21" t="s">
        <v>130</v>
      </c>
      <c r="D36" s="14">
        <v>170.5</v>
      </c>
      <c r="E36" s="16">
        <f>ROUND(D36*B36,2)</f>
        <v>1364</v>
      </c>
      <c r="F36" s="9"/>
      <c r="G36" s="9"/>
      <c r="H36" s="9"/>
      <c r="I36" s="9"/>
      <c r="J36" s="9"/>
      <c r="K36" s="9"/>
      <c r="L36" s="9"/>
    </row>
    <row r="37" spans="1:12">
      <c r="A37" s="12" t="s">
        <v>162</v>
      </c>
      <c r="B37" s="14">
        <v>8</v>
      </c>
      <c r="C37" s="21" t="s">
        <v>130</v>
      </c>
      <c r="D37" s="14">
        <v>136.44999999999999</v>
      </c>
      <c r="E37" s="16">
        <f>ROUND(D37*B37,2)</f>
        <v>1091.5999999999999</v>
      </c>
      <c r="F37" s="9"/>
      <c r="G37" s="9"/>
      <c r="H37" s="9"/>
      <c r="I37" s="9"/>
      <c r="J37" s="9"/>
      <c r="K37" s="9"/>
      <c r="L37" s="9"/>
    </row>
    <row r="38" spans="1:12">
      <c r="A38" s="12" t="s">
        <v>163</v>
      </c>
      <c r="B38" s="14">
        <f>4*8</f>
        <v>32</v>
      </c>
      <c r="C38" s="21" t="s">
        <v>130</v>
      </c>
      <c r="D38" s="14">
        <v>92.08</v>
      </c>
      <c r="E38" s="16">
        <f>ROUND(D38*B38,2)</f>
        <v>2946.56</v>
      </c>
      <c r="F38" s="9"/>
      <c r="G38" s="9"/>
      <c r="H38" s="9"/>
      <c r="I38" s="9"/>
      <c r="J38" s="9"/>
      <c r="K38" s="9"/>
      <c r="L38" s="9"/>
    </row>
    <row r="39" spans="1:12">
      <c r="A39" s="12"/>
      <c r="B39" s="14"/>
      <c r="C39" s="15"/>
      <c r="D39" s="14"/>
      <c r="E39" s="16"/>
      <c r="F39" s="9"/>
      <c r="G39" s="9"/>
      <c r="H39" s="9"/>
      <c r="I39" s="9"/>
      <c r="J39" s="9"/>
      <c r="K39" s="9"/>
      <c r="L39" s="9"/>
    </row>
    <row r="40" spans="1:12" ht="15.75">
      <c r="A40" s="12"/>
      <c r="B40" s="11"/>
      <c r="C40" s="18" t="s">
        <v>164</v>
      </c>
      <c r="D40" s="18"/>
      <c r="E40" s="19">
        <f>SUM(E36:E38)</f>
        <v>5402.16</v>
      </c>
      <c r="F40" s="9"/>
      <c r="G40" s="9"/>
      <c r="H40" s="9"/>
      <c r="I40" s="9"/>
      <c r="J40" s="9"/>
      <c r="K40" s="9"/>
      <c r="L40" s="9"/>
    </row>
    <row r="41" spans="1:12" ht="15.75">
      <c r="A41" s="12"/>
      <c r="B41" s="11"/>
      <c r="C41" s="18" t="s">
        <v>165</v>
      </c>
      <c r="D41" s="18"/>
      <c r="E41" s="19">
        <f>E40/8</f>
        <v>675.27</v>
      </c>
      <c r="F41" s="9"/>
      <c r="G41" s="9"/>
      <c r="H41" s="9"/>
      <c r="I41" s="9"/>
      <c r="J41" s="9"/>
      <c r="K41" s="9"/>
      <c r="L41" s="9"/>
    </row>
    <row r="42" spans="1:12" ht="15.75">
      <c r="A42" s="12"/>
      <c r="B42" s="11"/>
      <c r="C42" s="18"/>
      <c r="D42" s="18"/>
      <c r="E42" s="19"/>
      <c r="F42" s="9"/>
      <c r="G42" s="9"/>
      <c r="H42" s="9"/>
      <c r="I42" s="9"/>
      <c r="J42" s="9"/>
      <c r="K42" s="9"/>
      <c r="L42" s="9"/>
    </row>
    <row r="43" spans="1:12" ht="15.75">
      <c r="A43" s="22" t="s">
        <v>166</v>
      </c>
      <c r="B43" s="11"/>
      <c r="C43" s="15"/>
      <c r="D43" s="18"/>
      <c r="E43" s="19"/>
      <c r="F43" s="9"/>
      <c r="G43" s="9"/>
      <c r="H43" s="9"/>
      <c r="I43" s="9"/>
      <c r="J43" s="9"/>
      <c r="K43" s="9"/>
      <c r="L43" s="9"/>
    </row>
    <row r="44" spans="1:12" ht="15.75">
      <c r="A44" s="12" t="s">
        <v>167</v>
      </c>
      <c r="B44" s="7"/>
      <c r="C44" s="15" t="s">
        <v>11</v>
      </c>
      <c r="D44" s="28">
        <f>42.64*1.2</f>
        <v>51.167999999999999</v>
      </c>
      <c r="E44" s="19"/>
      <c r="F44" s="9"/>
      <c r="G44" s="9"/>
      <c r="H44" s="9"/>
      <c r="I44" s="9"/>
      <c r="J44" s="9"/>
      <c r="K44" s="9"/>
      <c r="L44" s="9"/>
    </row>
    <row r="45" spans="1:12" ht="15.75">
      <c r="A45" s="12" t="s">
        <v>168</v>
      </c>
      <c r="B45" s="7"/>
      <c r="C45" s="15" t="s">
        <v>29</v>
      </c>
      <c r="D45" s="28">
        <f>990*1.2</f>
        <v>1188</v>
      </c>
      <c r="E45" s="19"/>
      <c r="F45" s="9"/>
      <c r="G45" s="9"/>
      <c r="H45" s="9"/>
      <c r="I45" s="9"/>
      <c r="J45" s="9"/>
      <c r="K45" s="9"/>
      <c r="L45" s="9"/>
    </row>
    <row r="46" spans="1:12" ht="15.75">
      <c r="A46" s="12" t="s">
        <v>169</v>
      </c>
      <c r="B46" s="7"/>
      <c r="C46" s="15" t="s">
        <v>11</v>
      </c>
      <c r="D46" s="28">
        <f>35.8*1.2</f>
        <v>42.959999999999994</v>
      </c>
      <c r="E46" s="19"/>
      <c r="F46" s="9"/>
      <c r="G46" s="9"/>
      <c r="H46" s="9"/>
      <c r="I46" s="9"/>
      <c r="J46" s="9"/>
      <c r="K46" s="9"/>
      <c r="L46" s="9"/>
    </row>
    <row r="47" spans="1:12" ht="15.75">
      <c r="A47" s="12" t="s">
        <v>170</v>
      </c>
      <c r="B47" s="7"/>
      <c r="C47" s="15" t="s">
        <v>11</v>
      </c>
      <c r="D47" s="28">
        <f>35*1.2</f>
        <v>42</v>
      </c>
      <c r="E47" s="19"/>
      <c r="F47" s="9"/>
      <c r="G47" s="9"/>
      <c r="H47" s="9"/>
      <c r="I47" s="9"/>
      <c r="J47" s="9"/>
      <c r="K47" s="9"/>
      <c r="L47" s="9"/>
    </row>
    <row r="48" spans="1:12" ht="15.75">
      <c r="A48" s="12" t="s">
        <v>171</v>
      </c>
      <c r="B48" s="7"/>
      <c r="C48" s="15" t="s">
        <v>11</v>
      </c>
      <c r="D48" s="28">
        <f>35*1.2</f>
        <v>42</v>
      </c>
      <c r="E48" s="19"/>
      <c r="F48" s="9"/>
      <c r="G48" s="9"/>
      <c r="H48" s="9"/>
      <c r="I48" s="9"/>
      <c r="J48" s="9"/>
      <c r="K48" s="9"/>
      <c r="L48" s="9"/>
    </row>
    <row r="49" spans="1:12" ht="15.75">
      <c r="A49" s="12"/>
      <c r="B49" s="11"/>
      <c r="C49" s="18"/>
      <c r="D49" s="18"/>
      <c r="E49" s="19"/>
      <c r="F49" s="9"/>
      <c r="G49" s="9"/>
      <c r="H49" s="9"/>
      <c r="I49" s="9"/>
      <c r="J49" s="9"/>
      <c r="K49" s="9"/>
      <c r="L49" s="9"/>
    </row>
    <row r="50" spans="1:12" ht="15.75">
      <c r="A50" s="12" t="s">
        <v>172</v>
      </c>
      <c r="B50" s="11"/>
      <c r="C50" s="21" t="s">
        <v>11</v>
      </c>
      <c r="D50" s="11">
        <v>167</v>
      </c>
      <c r="E50" s="19"/>
      <c r="F50" s="9"/>
      <c r="G50" s="9"/>
      <c r="H50" s="9"/>
      <c r="I50" s="9"/>
      <c r="J50" s="9"/>
      <c r="K50" s="9"/>
      <c r="L50" s="9"/>
    </row>
    <row r="51" spans="1:12">
      <c r="A51" s="12"/>
      <c r="B51" s="11"/>
      <c r="C51" s="15"/>
      <c r="D51" s="11"/>
      <c r="E51" s="12"/>
      <c r="F51" s="9"/>
      <c r="G51" s="9"/>
      <c r="H51" s="9"/>
      <c r="I51" s="9"/>
      <c r="J51" s="9"/>
      <c r="K51" s="9"/>
      <c r="L51" s="9"/>
    </row>
    <row r="52" spans="1:12" hidden="1">
      <c r="A52" s="12" t="s">
        <v>173</v>
      </c>
      <c r="B52" s="11"/>
      <c r="C52" s="11"/>
      <c r="D52" s="11"/>
      <c r="E52" s="12"/>
      <c r="F52" s="9"/>
      <c r="G52" s="9"/>
      <c r="H52" s="9"/>
      <c r="I52" s="9"/>
      <c r="J52" s="9"/>
      <c r="K52" s="9"/>
      <c r="L52" s="9"/>
    </row>
    <row r="53" spans="1:12" hidden="1">
      <c r="A53" s="12" t="s">
        <v>174</v>
      </c>
      <c r="B53" s="14">
        <v>3</v>
      </c>
      <c r="C53" s="15" t="s">
        <v>175</v>
      </c>
      <c r="D53" s="11"/>
      <c r="E53" s="12"/>
      <c r="F53" s="9"/>
      <c r="G53" s="9"/>
      <c r="H53" s="9"/>
      <c r="I53" s="9"/>
      <c r="J53" s="9"/>
      <c r="K53" s="9"/>
      <c r="L53" s="9"/>
    </row>
    <row r="54" spans="1:12" hidden="1">
      <c r="A54" s="12" t="s">
        <v>176</v>
      </c>
      <c r="B54" s="14">
        <v>4</v>
      </c>
      <c r="C54" s="15" t="s">
        <v>175</v>
      </c>
      <c r="D54" s="11"/>
      <c r="E54" s="12"/>
      <c r="F54" s="9"/>
      <c r="G54" s="9"/>
      <c r="H54" s="9"/>
      <c r="I54" s="9"/>
      <c r="J54" s="9"/>
      <c r="K54" s="9"/>
      <c r="L54" s="9"/>
    </row>
    <row r="55" spans="1:12" hidden="1">
      <c r="A55" s="12" t="s">
        <v>177</v>
      </c>
      <c r="B55" s="14">
        <v>5</v>
      </c>
      <c r="C55" s="15" t="s">
        <v>175</v>
      </c>
      <c r="D55" s="11"/>
      <c r="E55" s="12"/>
      <c r="F55" s="9"/>
      <c r="G55" s="9"/>
      <c r="H55" s="9"/>
      <c r="I55" s="9"/>
      <c r="J55" s="9"/>
      <c r="K55" s="9"/>
      <c r="L55" s="9"/>
    </row>
    <row r="56" spans="1:12" hidden="1">
      <c r="A56" s="12" t="s">
        <v>178</v>
      </c>
      <c r="B56" s="14">
        <v>3</v>
      </c>
      <c r="C56" s="15" t="s">
        <v>175</v>
      </c>
      <c r="D56" s="11"/>
      <c r="E56" s="12"/>
      <c r="F56" s="9"/>
      <c r="G56" s="9"/>
      <c r="H56" s="9"/>
      <c r="I56" s="9"/>
      <c r="J56" s="9"/>
      <c r="K56" s="9"/>
      <c r="L56" s="9"/>
    </row>
    <row r="57" spans="1:12" hidden="1">
      <c r="A57" s="12" t="s">
        <v>179</v>
      </c>
      <c r="B57" s="14">
        <v>4</v>
      </c>
      <c r="C57" s="15" t="s">
        <v>175</v>
      </c>
      <c r="D57" s="11"/>
      <c r="E57" s="12"/>
      <c r="F57" s="9"/>
      <c r="G57" s="9"/>
      <c r="H57" s="9"/>
      <c r="I57" s="9"/>
      <c r="J57" s="9"/>
      <c r="K57" s="9"/>
      <c r="L57" s="9"/>
    </row>
    <row r="58" spans="1:12" hidden="1">
      <c r="A58" s="12" t="s">
        <v>180</v>
      </c>
      <c r="B58" s="14">
        <v>0.9</v>
      </c>
      <c r="C58" s="15" t="s">
        <v>175</v>
      </c>
      <c r="D58" s="11"/>
      <c r="E58" s="12"/>
      <c r="F58" s="9"/>
      <c r="G58" s="9"/>
      <c r="H58" s="9"/>
      <c r="I58" s="9"/>
      <c r="J58" s="9"/>
      <c r="K58" s="9"/>
      <c r="L58" s="9"/>
    </row>
    <row r="59" spans="1:12" hidden="1">
      <c r="A59" s="12" t="s">
        <v>151</v>
      </c>
      <c r="B59" s="14">
        <v>3.2</v>
      </c>
      <c r="C59" s="15" t="s">
        <v>175</v>
      </c>
      <c r="D59" s="11"/>
      <c r="E59" s="12"/>
      <c r="F59" s="9"/>
      <c r="G59" s="9"/>
      <c r="H59" s="9"/>
      <c r="I59" s="9"/>
      <c r="J59" s="9"/>
      <c r="K59" s="9"/>
      <c r="L59" s="9"/>
    </row>
    <row r="60" spans="1:12" hidden="1">
      <c r="A60" s="12"/>
      <c r="B60" s="11"/>
      <c r="C60" s="11"/>
      <c r="D60" s="11"/>
      <c r="E60" s="12"/>
      <c r="F60" s="9"/>
      <c r="G60" s="9"/>
      <c r="H60" s="9"/>
      <c r="I60" s="9"/>
      <c r="J60" s="9"/>
      <c r="K60" s="9"/>
      <c r="L60" s="9"/>
    </row>
    <row r="61" spans="1:12" hidden="1">
      <c r="A61" s="12" t="s">
        <v>181</v>
      </c>
      <c r="B61" s="11" t="s">
        <v>182</v>
      </c>
      <c r="C61" s="11" t="s">
        <v>183</v>
      </c>
      <c r="D61" s="11" t="s">
        <v>184</v>
      </c>
      <c r="E61" s="12"/>
      <c r="F61" s="9"/>
      <c r="G61" s="9"/>
      <c r="H61" s="9"/>
      <c r="I61" s="9"/>
      <c r="J61" s="9"/>
      <c r="K61" s="9"/>
      <c r="L61" s="9"/>
    </row>
    <row r="62" spans="1:12" hidden="1">
      <c r="A62" s="12"/>
      <c r="B62" s="14">
        <v>0.75</v>
      </c>
      <c r="C62" s="14">
        <v>0.15</v>
      </c>
      <c r="D62" s="14">
        <v>0.1</v>
      </c>
      <c r="E62" s="12"/>
      <c r="F62" s="9"/>
      <c r="G62" s="9"/>
      <c r="H62" s="9"/>
      <c r="I62" s="9"/>
      <c r="J62" s="9"/>
      <c r="K62" s="9"/>
      <c r="L62" s="9"/>
    </row>
    <row r="63" spans="1:12" hidden="1">
      <c r="A63" s="12" t="s">
        <v>174</v>
      </c>
      <c r="B63" s="14">
        <f t="shared" ref="B63:B69" si="0">$E$41/B53*$B$62</f>
        <v>168.8175</v>
      </c>
      <c r="C63" s="14">
        <f t="shared" ref="C63:C69" si="1">(+$E$41/B53)*$C$62</f>
        <v>33.763500000000001</v>
      </c>
      <c r="D63" s="14">
        <f t="shared" ref="D63:D69" si="2">(+$E$41/B53)*$D$62</f>
        <v>22.509</v>
      </c>
      <c r="E63" s="12"/>
      <c r="F63" s="9"/>
      <c r="G63" s="9"/>
      <c r="H63" s="9"/>
      <c r="I63" s="9"/>
      <c r="J63" s="9"/>
      <c r="K63" s="9"/>
      <c r="L63" s="9"/>
    </row>
    <row r="64" spans="1:12" hidden="1">
      <c r="A64" s="12" t="s">
        <v>176</v>
      </c>
      <c r="B64" s="14">
        <f t="shared" si="0"/>
        <v>126.613125</v>
      </c>
      <c r="C64" s="14">
        <f t="shared" si="1"/>
        <v>25.322624999999999</v>
      </c>
      <c r="D64" s="14">
        <f t="shared" si="2"/>
        <v>16.88175</v>
      </c>
      <c r="E64" s="12"/>
      <c r="F64" s="9"/>
      <c r="G64" s="9"/>
      <c r="H64" s="9"/>
      <c r="I64" s="9"/>
      <c r="J64" s="9"/>
      <c r="K64" s="9"/>
      <c r="L64" s="9"/>
    </row>
    <row r="65" spans="1:12" hidden="1">
      <c r="A65" s="12" t="s">
        <v>177</v>
      </c>
      <c r="B65" s="14">
        <f t="shared" si="0"/>
        <v>101.29050000000001</v>
      </c>
      <c r="C65" s="14">
        <f t="shared" si="1"/>
        <v>20.258099999999999</v>
      </c>
      <c r="D65" s="14">
        <f t="shared" si="2"/>
        <v>13.505400000000002</v>
      </c>
      <c r="E65" s="12"/>
      <c r="F65" s="9"/>
      <c r="G65" s="9"/>
      <c r="H65" s="9"/>
      <c r="I65" s="9"/>
      <c r="J65" s="9"/>
      <c r="K65" s="9"/>
      <c r="L65" s="9"/>
    </row>
    <row r="66" spans="1:12" hidden="1">
      <c r="A66" s="12" t="s">
        <v>178</v>
      </c>
      <c r="B66" s="14">
        <f t="shared" si="0"/>
        <v>168.8175</v>
      </c>
      <c r="C66" s="14">
        <f t="shared" si="1"/>
        <v>33.763500000000001</v>
      </c>
      <c r="D66" s="14">
        <f t="shared" si="2"/>
        <v>22.509</v>
      </c>
      <c r="E66" s="12"/>
      <c r="F66" s="9"/>
      <c r="G66" s="9"/>
      <c r="H66" s="9"/>
      <c r="I66" s="9"/>
      <c r="J66" s="9"/>
      <c r="K66" s="9"/>
      <c r="L66" s="9"/>
    </row>
    <row r="67" spans="1:12" hidden="1">
      <c r="A67" s="12" t="s">
        <v>179</v>
      </c>
      <c r="B67" s="14">
        <f t="shared" si="0"/>
        <v>126.613125</v>
      </c>
      <c r="C67" s="14">
        <f t="shared" si="1"/>
        <v>25.322624999999999</v>
      </c>
      <c r="D67" s="14">
        <f t="shared" si="2"/>
        <v>16.88175</v>
      </c>
      <c r="E67" s="12"/>
      <c r="F67" s="9"/>
      <c r="G67" s="9"/>
      <c r="H67" s="9"/>
      <c r="I67" s="9"/>
      <c r="J67" s="9"/>
      <c r="K67" s="9"/>
      <c r="L67" s="9"/>
    </row>
    <row r="68" spans="1:12" hidden="1">
      <c r="A68" s="12" t="s">
        <v>185</v>
      </c>
      <c r="B68" s="14">
        <f t="shared" si="0"/>
        <v>562.72499999999991</v>
      </c>
      <c r="C68" s="14">
        <f t="shared" si="1"/>
        <v>112.54499999999999</v>
      </c>
      <c r="D68" s="14">
        <f t="shared" si="2"/>
        <v>75.03</v>
      </c>
      <c r="E68" s="12"/>
      <c r="F68" s="9"/>
      <c r="G68" s="9"/>
      <c r="H68" s="9"/>
      <c r="I68" s="9"/>
      <c r="J68" s="9"/>
      <c r="K68" s="9"/>
      <c r="L68" s="9"/>
    </row>
    <row r="69" spans="1:12" hidden="1">
      <c r="A69" s="12" t="s">
        <v>151</v>
      </c>
      <c r="B69" s="14">
        <f t="shared" si="0"/>
        <v>158.26640624999999</v>
      </c>
      <c r="C69" s="14">
        <f t="shared" si="1"/>
        <v>31.653281249999999</v>
      </c>
      <c r="D69" s="14">
        <f t="shared" si="2"/>
        <v>21.102187499999999</v>
      </c>
      <c r="E69" s="12"/>
      <c r="F69" s="9"/>
      <c r="G69" s="9"/>
      <c r="H69" s="9"/>
      <c r="I69" s="9"/>
      <c r="J69" s="9"/>
      <c r="K69" s="9"/>
      <c r="L69" s="9"/>
    </row>
    <row r="70" spans="1:12" hidden="1">
      <c r="A70" s="12"/>
      <c r="B70" s="11"/>
      <c r="C70" s="11"/>
      <c r="D70" s="11"/>
      <c r="E70" s="12"/>
      <c r="F70" s="9"/>
      <c r="G70" s="9"/>
      <c r="H70" s="9"/>
      <c r="I70" s="9"/>
      <c r="J70" s="9"/>
      <c r="K70" s="9"/>
      <c r="L70" s="9"/>
    </row>
    <row r="71" spans="1:12" ht="15.75" hidden="1">
      <c r="A71" s="13" t="s">
        <v>186</v>
      </c>
      <c r="B71" s="11"/>
      <c r="C71" s="11"/>
      <c r="D71" s="11"/>
      <c r="E71" s="12"/>
      <c r="F71" s="9"/>
      <c r="G71" s="9"/>
      <c r="H71" s="9"/>
      <c r="I71" s="9"/>
      <c r="J71" s="9"/>
      <c r="K71" s="9"/>
      <c r="L71" s="9"/>
    </row>
    <row r="72" spans="1:12" hidden="1">
      <c r="A72" s="12" t="s">
        <v>187</v>
      </c>
      <c r="B72" s="14">
        <v>1</v>
      </c>
      <c r="C72" s="11" t="s">
        <v>188</v>
      </c>
      <c r="D72" s="11"/>
      <c r="E72" s="12"/>
      <c r="F72" s="9"/>
      <c r="G72" s="9"/>
      <c r="H72" s="9"/>
      <c r="I72" s="9"/>
      <c r="J72" s="9"/>
      <c r="K72" s="9"/>
      <c r="L72" s="9"/>
    </row>
    <row r="73" spans="1:12" hidden="1">
      <c r="A73" s="12"/>
      <c r="B73" s="14"/>
      <c r="C73" s="11"/>
      <c r="D73" s="11"/>
      <c r="E73" s="12"/>
      <c r="F73" s="9"/>
      <c r="G73" s="9"/>
      <c r="H73" s="9"/>
      <c r="I73" s="9"/>
      <c r="J73" s="9"/>
      <c r="K73" s="9"/>
      <c r="L73" s="9"/>
    </row>
    <row r="74" spans="1:12" ht="15.75" hidden="1">
      <c r="A74" s="10" t="s">
        <v>189</v>
      </c>
      <c r="B74" s="23" t="s">
        <v>190</v>
      </c>
      <c r="C74" s="23" t="s">
        <v>191</v>
      </c>
      <c r="D74" s="23" t="s">
        <v>192</v>
      </c>
      <c r="E74" s="12"/>
      <c r="F74" s="9"/>
      <c r="G74" s="9"/>
      <c r="H74" s="9"/>
      <c r="I74" s="9"/>
      <c r="J74" s="9"/>
      <c r="K74" s="9"/>
      <c r="L74" s="9"/>
    </row>
    <row r="75" spans="1:12" hidden="1">
      <c r="A75" s="12"/>
      <c r="B75" s="11"/>
      <c r="C75" s="11"/>
      <c r="D75" s="11"/>
      <c r="E75" s="12"/>
      <c r="F75" s="9"/>
      <c r="G75" s="9"/>
      <c r="H75" s="9"/>
      <c r="I75" s="9"/>
      <c r="J75" s="9"/>
      <c r="K75" s="9"/>
      <c r="L75" s="9"/>
    </row>
    <row r="76" spans="1:12" hidden="1">
      <c r="A76" s="12" t="s">
        <v>193</v>
      </c>
      <c r="B76" s="14">
        <v>1</v>
      </c>
      <c r="C76" s="14">
        <v>15000</v>
      </c>
      <c r="D76" s="14">
        <f t="shared" ref="D76:D82" si="3">C76*B76</f>
        <v>15000</v>
      </c>
      <c r="E76" s="12"/>
      <c r="F76" s="9"/>
      <c r="G76" s="9"/>
      <c r="H76" s="9"/>
      <c r="I76" s="9"/>
      <c r="J76" s="9"/>
      <c r="K76" s="9"/>
      <c r="L76" s="9"/>
    </row>
    <row r="77" spans="1:12" hidden="1">
      <c r="A77" s="12" t="s">
        <v>194</v>
      </c>
      <c r="B77" s="14">
        <v>2</v>
      </c>
      <c r="C77" s="14">
        <v>5000</v>
      </c>
      <c r="D77" s="14">
        <f t="shared" si="3"/>
        <v>10000</v>
      </c>
      <c r="E77" s="12"/>
      <c r="F77" s="9"/>
      <c r="G77" s="9"/>
      <c r="H77" s="9"/>
      <c r="I77" s="9"/>
      <c r="J77" s="9"/>
      <c r="K77" s="9"/>
      <c r="L77" s="9"/>
    </row>
    <row r="78" spans="1:12" hidden="1">
      <c r="A78" s="12" t="s">
        <v>195</v>
      </c>
      <c r="B78" s="14">
        <v>1</v>
      </c>
      <c r="C78" s="14">
        <v>4000</v>
      </c>
      <c r="D78" s="14">
        <f t="shared" si="3"/>
        <v>4000</v>
      </c>
      <c r="E78" s="12"/>
      <c r="F78" s="9"/>
      <c r="G78" s="9"/>
      <c r="H78" s="9"/>
      <c r="I78" s="9"/>
      <c r="J78" s="9"/>
      <c r="K78" s="9"/>
      <c r="L78" s="9"/>
    </row>
    <row r="79" spans="1:12" hidden="1">
      <c r="A79" s="12" t="s">
        <v>196</v>
      </c>
      <c r="B79" s="14">
        <v>2</v>
      </c>
      <c r="C79" s="14">
        <v>3500</v>
      </c>
      <c r="D79" s="14">
        <f t="shared" si="3"/>
        <v>7000</v>
      </c>
      <c r="E79" s="12"/>
      <c r="F79" s="9"/>
      <c r="G79" s="9"/>
      <c r="H79" s="9"/>
      <c r="I79" s="9"/>
      <c r="J79" s="9"/>
      <c r="K79" s="9"/>
      <c r="L79" s="9"/>
    </row>
    <row r="80" spans="1:12" hidden="1">
      <c r="A80" s="12" t="s">
        <v>197</v>
      </c>
      <c r="B80" s="14">
        <v>3</v>
      </c>
      <c r="C80" s="14">
        <v>3000</v>
      </c>
      <c r="D80" s="14">
        <f t="shared" si="3"/>
        <v>9000</v>
      </c>
      <c r="E80" s="12"/>
      <c r="F80" s="9"/>
      <c r="G80" s="9"/>
      <c r="H80" s="9"/>
      <c r="I80" s="9"/>
      <c r="J80" s="9"/>
      <c r="K80" s="9"/>
      <c r="L80" s="9"/>
    </row>
    <row r="81" spans="1:12" hidden="1">
      <c r="A81" s="12" t="s">
        <v>198</v>
      </c>
      <c r="B81" s="14">
        <v>1</v>
      </c>
      <c r="C81" s="14">
        <v>5000</v>
      </c>
      <c r="D81" s="14">
        <f t="shared" si="3"/>
        <v>5000</v>
      </c>
      <c r="E81" s="12"/>
      <c r="F81" s="9"/>
      <c r="G81" s="9"/>
      <c r="H81" s="9"/>
      <c r="I81" s="9"/>
      <c r="J81" s="9"/>
      <c r="K81" s="9"/>
      <c r="L81" s="9"/>
    </row>
    <row r="82" spans="1:12" hidden="1">
      <c r="A82" s="12" t="s">
        <v>199</v>
      </c>
      <c r="B82" s="14">
        <v>1</v>
      </c>
      <c r="C82" s="14">
        <v>20000</v>
      </c>
      <c r="D82" s="14">
        <f t="shared" si="3"/>
        <v>20000</v>
      </c>
      <c r="E82" s="12"/>
      <c r="F82" s="9"/>
      <c r="G82" s="9"/>
      <c r="H82" s="9"/>
      <c r="I82" s="9"/>
      <c r="J82" s="9"/>
      <c r="K82" s="9"/>
      <c r="L82" s="9"/>
    </row>
    <row r="83" spans="1:12" hidden="1">
      <c r="A83" s="12"/>
      <c r="B83" s="14"/>
      <c r="C83" s="14"/>
      <c r="D83" s="14"/>
      <c r="E83" s="12"/>
      <c r="F83" s="9"/>
      <c r="G83" s="9"/>
      <c r="H83" s="9"/>
      <c r="I83" s="9"/>
      <c r="J83" s="9"/>
      <c r="K83" s="9"/>
      <c r="L83" s="9"/>
    </row>
    <row r="84" spans="1:12" ht="15.75" hidden="1">
      <c r="A84" s="13" t="s">
        <v>200</v>
      </c>
      <c r="B84" s="18"/>
      <c r="C84" s="18"/>
      <c r="D84" s="29">
        <f>SUM(D76:D82)</f>
        <v>70000</v>
      </c>
      <c r="E84" s="12"/>
      <c r="F84" s="9"/>
      <c r="G84" s="9"/>
      <c r="H84" s="9"/>
      <c r="I84" s="9"/>
      <c r="J84" s="9"/>
      <c r="K84" s="9"/>
      <c r="L84" s="9"/>
    </row>
    <row r="85" spans="1:12" hidden="1">
      <c r="A85" s="12"/>
      <c r="B85" s="11"/>
      <c r="C85" s="11"/>
      <c r="D85" s="11"/>
      <c r="E85" s="12"/>
      <c r="F85" s="9"/>
      <c r="G85" s="9"/>
      <c r="H85" s="9"/>
      <c r="I85" s="9"/>
      <c r="J85" s="9"/>
      <c r="K85" s="9"/>
      <c r="L85" s="9"/>
    </row>
    <row r="86" spans="1:12" hidden="1">
      <c r="A86" s="12"/>
      <c r="B86" s="11"/>
      <c r="C86" s="11"/>
      <c r="D86" s="11"/>
      <c r="E86" s="12"/>
      <c r="F86" s="9"/>
      <c r="G86" s="9"/>
      <c r="H86" s="9"/>
      <c r="I86" s="9"/>
      <c r="J86" s="9"/>
      <c r="K86" s="9"/>
      <c r="L86" s="9"/>
    </row>
    <row r="87" spans="1:12" hidden="1">
      <c r="A87" s="12"/>
      <c r="B87" s="11"/>
      <c r="C87" s="11"/>
      <c r="D87" s="11"/>
      <c r="E87" s="12"/>
      <c r="F87" s="9"/>
      <c r="G87" s="9"/>
      <c r="H87" s="9"/>
      <c r="I87" s="9"/>
      <c r="J87" s="9"/>
      <c r="K87" s="9"/>
      <c r="L87" s="9"/>
    </row>
    <row r="88" spans="1:12" ht="15.75" hidden="1">
      <c r="A88" s="13" t="s">
        <v>201</v>
      </c>
      <c r="B88" s="11" t="s">
        <v>202</v>
      </c>
      <c r="C88" s="11"/>
      <c r="D88" s="11"/>
      <c r="E88" s="12"/>
      <c r="F88" s="9"/>
      <c r="G88" s="9"/>
      <c r="H88" s="9"/>
      <c r="I88" s="9"/>
      <c r="J88" s="9"/>
      <c r="K88" s="9"/>
      <c r="L88" s="9"/>
    </row>
    <row r="89" spans="1:12" hidden="1">
      <c r="A89" s="12" t="s">
        <v>187</v>
      </c>
      <c r="B89" s="11">
        <v>1</v>
      </c>
      <c r="C89" s="15" t="s">
        <v>203</v>
      </c>
      <c r="D89" s="11"/>
      <c r="E89" s="12"/>
      <c r="F89" s="9"/>
      <c r="G89" s="9"/>
      <c r="H89" s="9"/>
      <c r="I89" s="9"/>
      <c r="J89" s="9"/>
      <c r="K89" s="9"/>
      <c r="L89" s="9"/>
    </row>
    <row r="90" spans="1:12" hidden="1">
      <c r="A90" s="12" t="s">
        <v>204</v>
      </c>
      <c r="B90" s="14">
        <v>8</v>
      </c>
      <c r="C90" s="15" t="s">
        <v>109</v>
      </c>
      <c r="D90" s="14">
        <v>111.82499999999999</v>
      </c>
      <c r="E90" s="16">
        <f>D90*B90</f>
        <v>894.59999999999991</v>
      </c>
      <c r="F90" s="9"/>
      <c r="G90" s="9"/>
      <c r="H90" s="9"/>
      <c r="I90" s="9"/>
      <c r="J90" s="9"/>
      <c r="K90" s="9"/>
      <c r="L90" s="9"/>
    </row>
    <row r="91" spans="1:12" hidden="1">
      <c r="A91" s="12" t="s">
        <v>205</v>
      </c>
      <c r="B91" s="14">
        <v>8</v>
      </c>
      <c r="C91" s="15" t="s">
        <v>109</v>
      </c>
      <c r="D91" s="14">
        <v>89.424999999999997</v>
      </c>
      <c r="E91" s="16">
        <f>D91*B91</f>
        <v>715.4</v>
      </c>
      <c r="F91" s="9"/>
      <c r="G91" s="9"/>
      <c r="H91" s="9"/>
      <c r="I91" s="9"/>
      <c r="J91" s="9"/>
      <c r="K91" s="9"/>
      <c r="L91" s="9"/>
    </row>
    <row r="92" spans="1:12" hidden="1">
      <c r="A92" s="12" t="s">
        <v>206</v>
      </c>
      <c r="B92" s="14">
        <v>16</v>
      </c>
      <c r="C92" s="15" t="s">
        <v>109</v>
      </c>
      <c r="D92" s="14">
        <v>60.374999999999993</v>
      </c>
      <c r="E92" s="16">
        <f>D92*B92</f>
        <v>965.99999999999989</v>
      </c>
      <c r="F92" s="9"/>
      <c r="G92" s="9"/>
      <c r="H92" s="9"/>
      <c r="I92" s="9"/>
      <c r="J92" s="9"/>
      <c r="K92" s="9"/>
      <c r="L92" s="9"/>
    </row>
    <row r="93" spans="1:12" hidden="1">
      <c r="A93" s="12" t="s">
        <v>207</v>
      </c>
      <c r="B93" s="14">
        <v>24</v>
      </c>
      <c r="C93" s="15" t="s">
        <v>109</v>
      </c>
      <c r="D93" s="14">
        <v>46.999580360889638</v>
      </c>
      <c r="E93" s="16">
        <f>D93*B93</f>
        <v>1127.9899286613513</v>
      </c>
      <c r="F93" s="9"/>
      <c r="G93" s="9"/>
      <c r="H93" s="9"/>
      <c r="I93" s="9"/>
      <c r="J93" s="9"/>
      <c r="K93" s="9"/>
      <c r="L93" s="9"/>
    </row>
    <row r="94" spans="1:12" ht="15.75" hidden="1">
      <c r="A94" s="12"/>
      <c r="B94" s="11"/>
      <c r="C94" s="18" t="s">
        <v>164</v>
      </c>
      <c r="D94" s="18"/>
      <c r="E94" s="19">
        <f>SUM(E90:E93)</f>
        <v>3703.9899286613513</v>
      </c>
      <c r="F94" s="9"/>
      <c r="G94" s="9"/>
      <c r="H94" s="9"/>
      <c r="I94" s="9"/>
      <c r="J94" s="9"/>
      <c r="K94" s="9"/>
      <c r="L94" s="9"/>
    </row>
    <row r="95" spans="1:12" ht="15.75" hidden="1">
      <c r="A95" s="12"/>
      <c r="B95" s="11"/>
      <c r="C95" s="18" t="s">
        <v>208</v>
      </c>
      <c r="D95" s="18"/>
      <c r="E95" s="19">
        <f>E94/8</f>
        <v>462.99874108266891</v>
      </c>
      <c r="F95" s="9"/>
      <c r="G95" s="9"/>
      <c r="H95" s="9"/>
      <c r="I95" s="9"/>
      <c r="J95" s="9"/>
      <c r="K95" s="9"/>
      <c r="L95" s="9"/>
    </row>
    <row r="96" spans="1:12" ht="15.75" hidden="1">
      <c r="A96" s="13" t="s">
        <v>209</v>
      </c>
      <c r="B96" s="11"/>
      <c r="C96" s="11"/>
      <c r="D96" s="11"/>
      <c r="E96" s="12"/>
      <c r="F96" s="9"/>
      <c r="G96" s="9"/>
      <c r="H96" s="9"/>
      <c r="I96" s="9"/>
      <c r="J96" s="9"/>
      <c r="K96" s="9"/>
      <c r="L96" s="9"/>
    </row>
    <row r="97" spans="1:12" hidden="1">
      <c r="A97" s="12"/>
      <c r="B97" s="11"/>
      <c r="C97" s="11"/>
      <c r="D97" s="11"/>
      <c r="E97" s="12"/>
      <c r="F97" s="9"/>
      <c r="G97" s="9"/>
      <c r="H97" s="9"/>
      <c r="I97" s="9"/>
      <c r="J97" s="9"/>
      <c r="K97" s="9"/>
      <c r="L97" s="9"/>
    </row>
    <row r="98" spans="1:12" hidden="1">
      <c r="A98" s="12" t="s">
        <v>187</v>
      </c>
      <c r="B98" s="14">
        <v>1</v>
      </c>
      <c r="C98" s="11" t="s">
        <v>188</v>
      </c>
      <c r="D98" s="11"/>
      <c r="E98" s="12"/>
      <c r="F98" s="9"/>
      <c r="G98" s="9"/>
      <c r="H98" s="9"/>
      <c r="I98" s="9"/>
      <c r="J98" s="9"/>
      <c r="K98" s="9"/>
      <c r="L98" s="9"/>
    </row>
    <row r="99" spans="1:12" hidden="1">
      <c r="A99" s="12"/>
      <c r="B99" s="11"/>
      <c r="C99" s="11"/>
      <c r="D99" s="11"/>
      <c r="E99" s="12"/>
      <c r="F99" s="9"/>
      <c r="G99" s="9"/>
      <c r="H99" s="9"/>
      <c r="I99" s="9"/>
      <c r="J99" s="9"/>
      <c r="K99" s="9"/>
      <c r="L99" s="9"/>
    </row>
    <row r="100" spans="1:12" ht="15.75" hidden="1">
      <c r="A100" s="10" t="s">
        <v>189</v>
      </c>
      <c r="B100" s="23" t="s">
        <v>190</v>
      </c>
      <c r="C100" s="23" t="s">
        <v>191</v>
      </c>
      <c r="D100" s="23" t="s">
        <v>192</v>
      </c>
      <c r="E100" s="12"/>
      <c r="F100" s="9"/>
      <c r="G100" s="9"/>
      <c r="H100" s="9"/>
      <c r="I100" s="9"/>
      <c r="J100" s="9"/>
      <c r="K100" s="9"/>
      <c r="L100" s="9"/>
    </row>
    <row r="101" spans="1:12" hidden="1">
      <c r="A101" s="12"/>
      <c r="B101" s="11"/>
      <c r="C101" s="11"/>
      <c r="D101" s="11"/>
      <c r="E101" s="12"/>
      <c r="F101" s="9"/>
      <c r="G101" s="9"/>
      <c r="H101" s="9"/>
      <c r="I101" s="9"/>
      <c r="J101" s="9"/>
      <c r="K101" s="9"/>
      <c r="L101" s="9"/>
    </row>
    <row r="102" spans="1:12" hidden="1">
      <c r="A102" s="12"/>
      <c r="B102" s="11"/>
      <c r="C102" s="11"/>
      <c r="D102" s="11"/>
      <c r="E102" s="12"/>
      <c r="F102" s="9"/>
      <c r="G102" s="9"/>
      <c r="H102" s="9"/>
      <c r="I102" s="9"/>
      <c r="J102" s="9"/>
      <c r="K102" s="9"/>
      <c r="L102" s="9"/>
    </row>
    <row r="103" spans="1:12" hidden="1">
      <c r="A103" s="12" t="s">
        <v>210</v>
      </c>
      <c r="B103" s="11">
        <v>1</v>
      </c>
      <c r="C103" s="11">
        <v>60000</v>
      </c>
      <c r="D103" s="11">
        <f t="shared" ref="D103:D109" si="4">B103*C103</f>
        <v>60000</v>
      </c>
      <c r="E103" s="12"/>
      <c r="F103" s="9"/>
      <c r="G103" s="9"/>
      <c r="H103" s="9"/>
      <c r="I103" s="9"/>
      <c r="J103" s="9"/>
      <c r="K103" s="9"/>
      <c r="L103" s="9"/>
    </row>
    <row r="104" spans="1:12" hidden="1">
      <c r="A104" s="12" t="s">
        <v>211</v>
      </c>
      <c r="B104" s="11">
        <v>2</v>
      </c>
      <c r="C104" s="11">
        <v>40000</v>
      </c>
      <c r="D104" s="11">
        <f t="shared" si="4"/>
        <v>80000</v>
      </c>
      <c r="E104" s="12"/>
      <c r="F104" s="9"/>
      <c r="G104" s="9"/>
      <c r="H104" s="9"/>
      <c r="I104" s="9"/>
      <c r="J104" s="9"/>
      <c r="K104" s="9"/>
      <c r="L104" s="9"/>
    </row>
    <row r="105" spans="1:12" hidden="1">
      <c r="A105" s="12" t="s">
        <v>212</v>
      </c>
      <c r="B105" s="11">
        <v>1</v>
      </c>
      <c r="C105" s="11">
        <v>20000</v>
      </c>
      <c r="D105" s="11">
        <f t="shared" si="4"/>
        <v>20000</v>
      </c>
      <c r="E105" s="12"/>
      <c r="F105" s="9"/>
      <c r="G105" s="9"/>
      <c r="H105" s="9"/>
      <c r="I105" s="9"/>
      <c r="J105" s="9"/>
      <c r="K105" s="9"/>
      <c r="L105" s="9"/>
    </row>
    <row r="106" spans="1:12" hidden="1">
      <c r="A106" s="12" t="s">
        <v>213</v>
      </c>
      <c r="B106" s="11">
        <v>1</v>
      </c>
      <c r="C106" s="11">
        <v>10000</v>
      </c>
      <c r="D106" s="11">
        <f t="shared" si="4"/>
        <v>10000</v>
      </c>
      <c r="E106" s="12"/>
      <c r="F106" s="9"/>
      <c r="G106" s="9"/>
      <c r="H106" s="9"/>
      <c r="I106" s="9"/>
      <c r="J106" s="9"/>
      <c r="K106" s="9"/>
      <c r="L106" s="9"/>
    </row>
    <row r="107" spans="1:12" hidden="1">
      <c r="A107" s="12" t="s">
        <v>214</v>
      </c>
      <c r="B107" s="11">
        <v>1</v>
      </c>
      <c r="C107" s="11">
        <v>3500</v>
      </c>
      <c r="D107" s="11">
        <f t="shared" si="4"/>
        <v>3500</v>
      </c>
      <c r="E107" s="12"/>
      <c r="F107" s="9"/>
      <c r="G107" s="9"/>
      <c r="H107" s="9"/>
      <c r="I107" s="9"/>
      <c r="J107" s="9"/>
      <c r="K107" s="9"/>
      <c r="L107" s="9"/>
    </row>
    <row r="108" spans="1:12" hidden="1">
      <c r="A108" s="12" t="s">
        <v>215</v>
      </c>
      <c r="B108" s="11">
        <v>2</v>
      </c>
      <c r="C108" s="11">
        <v>6500</v>
      </c>
      <c r="D108" s="11">
        <f t="shared" si="4"/>
        <v>13000</v>
      </c>
      <c r="E108" s="12"/>
      <c r="F108" s="9"/>
      <c r="G108" s="9"/>
      <c r="H108" s="9"/>
      <c r="I108" s="9"/>
      <c r="J108" s="9"/>
      <c r="K108" s="9"/>
      <c r="L108" s="9"/>
    </row>
    <row r="109" spans="1:12" hidden="1">
      <c r="A109" s="12" t="s">
        <v>216</v>
      </c>
      <c r="B109" s="11">
        <v>1</v>
      </c>
      <c r="C109" s="11">
        <v>12500</v>
      </c>
      <c r="D109" s="11">
        <f t="shared" si="4"/>
        <v>12500</v>
      </c>
      <c r="E109" s="12"/>
      <c r="F109" s="9"/>
      <c r="G109" s="9"/>
      <c r="H109" s="9"/>
      <c r="I109" s="9"/>
      <c r="J109" s="9"/>
      <c r="K109" s="9"/>
      <c r="L109" s="9"/>
    </row>
    <row r="110" spans="1:12" hidden="1">
      <c r="A110" s="12"/>
      <c r="B110" s="11"/>
      <c r="C110" s="11"/>
      <c r="D110" s="11"/>
      <c r="E110" s="12"/>
      <c r="F110" s="9"/>
      <c r="G110" s="9"/>
      <c r="H110" s="9"/>
      <c r="I110" s="9"/>
      <c r="J110" s="9"/>
      <c r="K110" s="9"/>
      <c r="L110" s="9"/>
    </row>
    <row r="111" spans="1:12" ht="15.75" hidden="1">
      <c r="A111" s="13" t="s">
        <v>217</v>
      </c>
      <c r="B111" s="11"/>
      <c r="C111" s="11"/>
      <c r="D111" s="18">
        <f>SUM(D103:D110)</f>
        <v>199000</v>
      </c>
      <c r="E111" s="12"/>
      <c r="F111" s="9"/>
      <c r="G111" s="9"/>
      <c r="H111" s="9"/>
      <c r="I111" s="9"/>
      <c r="J111" s="9"/>
      <c r="K111" s="9"/>
      <c r="L111" s="9"/>
    </row>
    <row r="112" spans="1:12" hidden="1">
      <c r="A112" s="12"/>
      <c r="B112" s="11"/>
      <c r="C112" s="11"/>
      <c r="D112" s="11"/>
      <c r="E112" s="12"/>
      <c r="F112" s="9"/>
      <c r="G112" s="9"/>
      <c r="H112" s="9"/>
      <c r="I112" s="9"/>
      <c r="J112" s="9"/>
      <c r="K112" s="9"/>
      <c r="L112" s="9"/>
    </row>
    <row r="113" spans="1:12">
      <c r="A113" s="12"/>
      <c r="B113" s="11"/>
      <c r="C113" s="11"/>
      <c r="D113" s="11"/>
      <c r="E113" s="12"/>
      <c r="F113" s="9"/>
      <c r="G113" s="9"/>
      <c r="H113" s="9"/>
      <c r="I113" s="9"/>
      <c r="J113" s="9"/>
      <c r="K113" s="9"/>
      <c r="L113" s="9"/>
    </row>
    <row r="114" spans="1:12" ht="15.75">
      <c r="A114" s="13" t="s">
        <v>201</v>
      </c>
      <c r="B114" s="11"/>
      <c r="C114" s="11"/>
      <c r="D114" s="11"/>
      <c r="E114" s="12"/>
      <c r="F114" s="9"/>
      <c r="G114" s="9"/>
      <c r="H114" s="9"/>
      <c r="I114" s="9"/>
      <c r="J114" s="9"/>
      <c r="K114" s="9"/>
      <c r="L114" s="9"/>
    </row>
    <row r="115" spans="1:12">
      <c r="A115" s="12" t="s">
        <v>187</v>
      </c>
      <c r="B115" s="11">
        <v>1</v>
      </c>
      <c r="C115" s="21" t="s">
        <v>203</v>
      </c>
      <c r="D115" s="11"/>
      <c r="E115" s="12"/>
      <c r="F115" s="9"/>
      <c r="G115" s="9"/>
      <c r="H115" s="9"/>
      <c r="I115" s="9"/>
      <c r="J115" s="9"/>
      <c r="K115" s="9"/>
      <c r="L115" s="9"/>
    </row>
    <row r="116" spans="1:12">
      <c r="A116" s="12" t="s">
        <v>204</v>
      </c>
      <c r="B116" s="14">
        <v>8</v>
      </c>
      <c r="C116" s="21" t="s">
        <v>109</v>
      </c>
      <c r="D116" s="14">
        <f>+D36</f>
        <v>170.5</v>
      </c>
      <c r="E116" s="16">
        <f>ROUND(D116*B116,2)</f>
        <v>1364</v>
      </c>
      <c r="F116" s="9"/>
      <c r="G116" s="9"/>
      <c r="H116" s="9"/>
      <c r="I116" s="9"/>
      <c r="J116" s="9"/>
      <c r="K116" s="9"/>
      <c r="L116" s="9"/>
    </row>
    <row r="117" spans="1:12">
      <c r="A117" s="12" t="s">
        <v>205</v>
      </c>
      <c r="B117" s="14">
        <v>8</v>
      </c>
      <c r="C117" s="21" t="s">
        <v>109</v>
      </c>
      <c r="D117" s="14">
        <f>+D37</f>
        <v>136.44999999999999</v>
      </c>
      <c r="E117" s="16">
        <f>ROUND(D117*B117,2)</f>
        <v>1091.5999999999999</v>
      </c>
      <c r="F117" s="9"/>
      <c r="G117" s="9"/>
      <c r="H117" s="9"/>
      <c r="I117" s="9"/>
      <c r="J117" s="9"/>
      <c r="K117" s="9"/>
      <c r="L117" s="9"/>
    </row>
    <row r="118" spans="1:12">
      <c r="A118" s="12" t="s">
        <v>206</v>
      </c>
      <c r="B118" s="14">
        <v>16</v>
      </c>
      <c r="C118" s="21" t="s">
        <v>109</v>
      </c>
      <c r="D118" s="14">
        <f>+D38</f>
        <v>92.08</v>
      </c>
      <c r="E118" s="16">
        <f>ROUND(D118*B118,2)</f>
        <v>1473.28</v>
      </c>
      <c r="F118" s="9"/>
      <c r="G118" s="9"/>
      <c r="H118" s="9"/>
      <c r="I118" s="9"/>
      <c r="J118" s="9"/>
      <c r="K118" s="9"/>
      <c r="L118" s="9"/>
    </row>
    <row r="119" spans="1:12">
      <c r="A119" s="12" t="s">
        <v>207</v>
      </c>
      <c r="B119" s="14">
        <v>24</v>
      </c>
      <c r="C119" s="21" t="s">
        <v>109</v>
      </c>
      <c r="D119" s="14">
        <f>+D7</f>
        <v>71.58</v>
      </c>
      <c r="E119" s="16">
        <f>ROUND(D119*B119,2)</f>
        <v>1717.92</v>
      </c>
      <c r="F119" s="9"/>
      <c r="G119" s="9"/>
      <c r="H119" s="9"/>
      <c r="I119" s="9"/>
      <c r="J119" s="9"/>
      <c r="K119" s="9"/>
      <c r="L119" s="9"/>
    </row>
    <row r="120" spans="1:12">
      <c r="A120" s="12"/>
      <c r="B120" s="14"/>
      <c r="C120" s="15"/>
      <c r="D120" s="14"/>
      <c r="E120" s="16"/>
      <c r="F120" s="9"/>
      <c r="G120" s="9"/>
      <c r="H120" s="9"/>
      <c r="I120" s="9"/>
      <c r="J120" s="9"/>
      <c r="K120" s="9"/>
      <c r="L120" s="9"/>
    </row>
    <row r="121" spans="1:12" ht="15.75">
      <c r="A121" s="12"/>
      <c r="B121" s="11"/>
      <c r="C121" s="18" t="s">
        <v>164</v>
      </c>
      <c r="D121" s="18"/>
      <c r="E121" s="19">
        <f>SUM(E116:E119)</f>
        <v>5646.8</v>
      </c>
      <c r="F121" s="9"/>
      <c r="G121" s="9"/>
      <c r="H121" s="9"/>
      <c r="I121" s="9"/>
      <c r="J121" s="9"/>
      <c r="K121" s="9"/>
      <c r="L121" s="9"/>
    </row>
    <row r="122" spans="1:12" ht="15.75">
      <c r="A122" s="12"/>
      <c r="B122" s="11"/>
      <c r="C122" s="18" t="s">
        <v>208</v>
      </c>
      <c r="D122" s="18"/>
      <c r="E122" s="19">
        <f>ROUND(E121/8,2)</f>
        <v>705.85</v>
      </c>
      <c r="F122" s="9"/>
      <c r="G122" s="9"/>
      <c r="H122" s="9"/>
      <c r="I122" s="9"/>
      <c r="J122" s="9"/>
      <c r="K122" s="9"/>
      <c r="L122" s="9"/>
    </row>
    <row r="123" spans="1:12">
      <c r="A123" s="12"/>
      <c r="B123" s="11"/>
      <c r="C123" s="11"/>
      <c r="D123" s="11"/>
      <c r="E123" s="12"/>
      <c r="F123" s="9"/>
      <c r="G123" s="9"/>
      <c r="H123" s="9"/>
      <c r="I123" s="9"/>
      <c r="J123" s="9"/>
      <c r="K123" s="9"/>
      <c r="L123" s="9"/>
    </row>
    <row r="124" spans="1:12" ht="15.75">
      <c r="A124" s="22" t="s">
        <v>218</v>
      </c>
      <c r="B124" s="11"/>
      <c r="C124" s="11"/>
      <c r="D124" s="11"/>
      <c r="E124" s="12"/>
      <c r="F124" s="9"/>
      <c r="G124" s="9"/>
      <c r="H124" s="9"/>
      <c r="I124" s="9"/>
      <c r="J124" s="9"/>
      <c r="K124" s="9"/>
      <c r="L124" s="9"/>
    </row>
    <row r="125" spans="1:12" ht="15.75">
      <c r="A125" s="12" t="s">
        <v>189</v>
      </c>
      <c r="B125" s="18" t="s">
        <v>142</v>
      </c>
      <c r="C125" s="23" t="s">
        <v>143</v>
      </c>
      <c r="D125" s="18" t="s">
        <v>144</v>
      </c>
      <c r="E125" s="13" t="s">
        <v>145</v>
      </c>
      <c r="F125" s="9"/>
      <c r="G125" s="9"/>
      <c r="H125" s="9"/>
      <c r="I125" s="9"/>
      <c r="J125" s="9"/>
      <c r="K125" s="9"/>
      <c r="L125" s="9"/>
    </row>
    <row r="126" spans="1:12">
      <c r="A126" s="12" t="s">
        <v>219</v>
      </c>
      <c r="B126" s="14">
        <v>5</v>
      </c>
      <c r="C126" s="15" t="s">
        <v>11</v>
      </c>
      <c r="D126" s="27">
        <v>145.44999999999999</v>
      </c>
      <c r="E126" s="11"/>
      <c r="F126" s="9"/>
      <c r="G126" s="9"/>
      <c r="H126" s="9"/>
      <c r="I126" s="9"/>
      <c r="J126" s="9"/>
      <c r="K126" s="9"/>
      <c r="L126" s="9"/>
    </row>
    <row r="127" spans="1:12">
      <c r="A127" s="12" t="s">
        <v>220</v>
      </c>
      <c r="B127" s="14">
        <v>10</v>
      </c>
      <c r="C127" s="15" t="s">
        <v>11</v>
      </c>
      <c r="D127" s="14">
        <f>$E$122/B127</f>
        <v>70.585000000000008</v>
      </c>
      <c r="E127" s="11"/>
      <c r="F127" s="9"/>
      <c r="G127" s="9"/>
      <c r="H127" s="9"/>
      <c r="I127" s="9"/>
      <c r="J127" s="9"/>
      <c r="K127" s="9"/>
      <c r="L127" s="9"/>
    </row>
    <row r="128" spans="1:12">
      <c r="A128" s="12" t="s">
        <v>221</v>
      </c>
      <c r="B128" s="14">
        <v>2.5</v>
      </c>
      <c r="C128" s="15" t="s">
        <v>25</v>
      </c>
      <c r="D128" s="14">
        <f>$E$122/B128</f>
        <v>282.34000000000003</v>
      </c>
      <c r="E128" s="11"/>
      <c r="F128" s="9"/>
      <c r="G128" s="9"/>
      <c r="H128" s="9"/>
      <c r="I128" s="9"/>
      <c r="J128" s="9"/>
      <c r="K128" s="9"/>
      <c r="L128" s="9"/>
    </row>
    <row r="129" spans="1:12">
      <c r="A129" s="12" t="s">
        <v>35</v>
      </c>
      <c r="B129" s="14">
        <v>25</v>
      </c>
      <c r="C129" s="15" t="s">
        <v>36</v>
      </c>
      <c r="D129" s="27">
        <f>ROUND($E$122/$B$129,2)</f>
        <v>28.23</v>
      </c>
      <c r="E129" s="11">
        <v>20</v>
      </c>
      <c r="F129" s="9"/>
      <c r="G129" s="9"/>
      <c r="H129" s="9"/>
      <c r="I129" s="9"/>
      <c r="J129" s="9"/>
      <c r="K129" s="9"/>
      <c r="L129" s="9"/>
    </row>
    <row r="130" spans="1:12">
      <c r="A130" s="12" t="s">
        <v>222</v>
      </c>
      <c r="B130" s="14">
        <v>15</v>
      </c>
      <c r="C130" s="15" t="s">
        <v>36</v>
      </c>
      <c r="D130" s="27">
        <f>ROUND($E$122/$B$130,2)</f>
        <v>47.06</v>
      </c>
      <c r="E130" s="11"/>
      <c r="F130" s="9"/>
      <c r="G130" s="9"/>
      <c r="H130" s="9"/>
      <c r="I130" s="9"/>
      <c r="J130" s="9"/>
      <c r="K130" s="9"/>
      <c r="L130" s="9"/>
    </row>
    <row r="131" spans="1:12">
      <c r="A131" s="12" t="s">
        <v>223</v>
      </c>
      <c r="B131" s="14">
        <v>25</v>
      </c>
      <c r="C131" s="15" t="s">
        <v>11</v>
      </c>
      <c r="D131" s="27">
        <v>32.479999999999997</v>
      </c>
      <c r="E131" s="11"/>
      <c r="F131" s="9"/>
      <c r="G131" s="9"/>
      <c r="H131" s="9"/>
      <c r="I131" s="9"/>
      <c r="J131" s="9"/>
      <c r="K131" s="9"/>
      <c r="L131" s="9"/>
    </row>
    <row r="132" spans="1:12">
      <c r="A132" s="12" t="s">
        <v>224</v>
      </c>
      <c r="B132" s="14">
        <v>11</v>
      </c>
      <c r="C132" s="15" t="s">
        <v>11</v>
      </c>
      <c r="D132" s="27">
        <f>$E$122/B132</f>
        <v>64.168181818181822</v>
      </c>
      <c r="E132" s="11"/>
      <c r="F132" s="9"/>
      <c r="G132" s="9"/>
      <c r="H132" s="9"/>
      <c r="I132" s="9"/>
      <c r="J132" s="9"/>
      <c r="K132" s="9"/>
      <c r="L132" s="9"/>
    </row>
    <row r="133" spans="1:12">
      <c r="A133" s="12" t="s">
        <v>225</v>
      </c>
      <c r="B133" s="14">
        <v>4.4000000000000004</v>
      </c>
      <c r="C133" s="15" t="s">
        <v>11</v>
      </c>
      <c r="D133" s="27">
        <f>ROUND($E$122/$B$133,2)</f>
        <v>160.41999999999999</v>
      </c>
      <c r="E133" s="11">
        <v>108</v>
      </c>
      <c r="F133" s="9"/>
      <c r="G133" s="9"/>
      <c r="H133" s="9"/>
      <c r="I133" s="9"/>
      <c r="J133" s="9"/>
      <c r="K133" s="9"/>
      <c r="L133" s="9"/>
    </row>
    <row r="134" spans="1:12">
      <c r="A134" s="12" t="s">
        <v>226</v>
      </c>
      <c r="B134" s="14">
        <v>1</v>
      </c>
      <c r="C134" s="15" t="s">
        <v>39</v>
      </c>
      <c r="D134" s="27">
        <v>180</v>
      </c>
      <c r="E134" s="11"/>
      <c r="F134" s="9"/>
      <c r="G134" s="9"/>
      <c r="H134" s="9"/>
      <c r="I134" s="9"/>
      <c r="J134" s="9"/>
      <c r="K134" s="9"/>
      <c r="L134" s="9"/>
    </row>
    <row r="135" spans="1:12">
      <c r="A135" s="30" t="s">
        <v>227</v>
      </c>
      <c r="B135" s="14">
        <v>1</v>
      </c>
      <c r="C135" s="15" t="s">
        <v>11</v>
      </c>
      <c r="D135" s="31">
        <v>378.7</v>
      </c>
      <c r="E135" s="11"/>
      <c r="F135" s="9"/>
      <c r="G135" s="9"/>
      <c r="H135" s="9"/>
      <c r="I135" s="9"/>
      <c r="J135" s="9"/>
      <c r="K135" s="9"/>
      <c r="L135" s="9"/>
    </row>
    <row r="136" spans="1:12">
      <c r="A136" s="12" t="s">
        <v>228</v>
      </c>
      <c r="B136" s="14">
        <v>2.25</v>
      </c>
      <c r="C136" s="15" t="s">
        <v>11</v>
      </c>
      <c r="D136" s="14">
        <f>ROUND($E$122/$B$136,2)</f>
        <v>313.70999999999998</v>
      </c>
      <c r="E136" s="11"/>
      <c r="F136" s="9"/>
      <c r="G136" s="9"/>
      <c r="H136" s="9"/>
      <c r="I136" s="9"/>
      <c r="J136" s="9"/>
      <c r="K136" s="9"/>
      <c r="L136" s="9"/>
    </row>
    <row r="137" spans="1:12">
      <c r="A137" s="12" t="s">
        <v>229</v>
      </c>
      <c r="B137" s="14">
        <v>5.5</v>
      </c>
      <c r="C137" s="15" t="s">
        <v>16</v>
      </c>
      <c r="D137" s="27">
        <v>17.739999999999998</v>
      </c>
      <c r="E137" s="11">
        <v>7</v>
      </c>
      <c r="F137" s="9"/>
      <c r="G137" s="9"/>
      <c r="H137" s="9"/>
      <c r="I137" s="9"/>
      <c r="J137" s="9"/>
      <c r="K137" s="9"/>
      <c r="L137" s="9"/>
    </row>
    <row r="138" spans="1:12">
      <c r="A138" s="12" t="s">
        <v>230</v>
      </c>
      <c r="B138" s="14">
        <v>5.5</v>
      </c>
      <c r="C138" s="15" t="s">
        <v>16</v>
      </c>
      <c r="D138" s="27">
        <v>14.8</v>
      </c>
      <c r="E138" s="11">
        <v>7</v>
      </c>
      <c r="F138" s="9"/>
      <c r="G138" s="9"/>
      <c r="H138" s="9"/>
      <c r="I138" s="9"/>
      <c r="J138" s="9"/>
      <c r="K138" s="9"/>
      <c r="L138" s="9"/>
    </row>
    <row r="139" spans="1:12">
      <c r="A139" s="12" t="s">
        <v>231</v>
      </c>
      <c r="B139" s="14">
        <v>5.5</v>
      </c>
      <c r="C139" s="15" t="s">
        <v>16</v>
      </c>
      <c r="D139" s="27">
        <v>16.39</v>
      </c>
      <c r="E139" s="11">
        <v>7</v>
      </c>
      <c r="F139" s="9"/>
      <c r="G139" s="9"/>
      <c r="H139" s="9"/>
      <c r="I139" s="9"/>
      <c r="J139" s="9"/>
      <c r="K139" s="9"/>
      <c r="L139" s="9"/>
    </row>
    <row r="140" spans="1:12">
      <c r="A140" s="12" t="s">
        <v>232</v>
      </c>
      <c r="B140" s="14">
        <v>3.8</v>
      </c>
      <c r="C140" s="15" t="s">
        <v>11</v>
      </c>
      <c r="D140" s="14">
        <f>ROUND($E$122/$B$140,2)</f>
        <v>185.75</v>
      </c>
      <c r="E140" s="11"/>
      <c r="F140" s="9"/>
      <c r="G140" s="9"/>
      <c r="H140" s="9"/>
      <c r="I140" s="9"/>
      <c r="J140" s="9"/>
      <c r="K140" s="9"/>
      <c r="L140" s="9"/>
    </row>
    <row r="141" spans="1:12" hidden="1">
      <c r="A141" s="12" t="s">
        <v>233</v>
      </c>
      <c r="B141" s="14">
        <v>0.5</v>
      </c>
      <c r="C141" s="15" t="s">
        <v>29</v>
      </c>
      <c r="D141" s="14">
        <f>$E$122/B141</f>
        <v>1411.7</v>
      </c>
      <c r="E141" s="11"/>
      <c r="F141" s="9"/>
      <c r="G141" s="9"/>
      <c r="H141" s="9"/>
      <c r="I141" s="9"/>
      <c r="J141" s="9"/>
      <c r="K141" s="9"/>
      <c r="L141" s="9"/>
    </row>
    <row r="142" spans="1:12" hidden="1">
      <c r="A142" s="12" t="s">
        <v>234</v>
      </c>
      <c r="B142" s="14">
        <v>0.5</v>
      </c>
      <c r="C142" s="15" t="s">
        <v>29</v>
      </c>
      <c r="D142" s="14">
        <f>$E$122/B142</f>
        <v>1411.7</v>
      </c>
      <c r="E142" s="11"/>
      <c r="F142" s="9"/>
      <c r="G142" s="9"/>
      <c r="H142" s="9"/>
      <c r="I142" s="9"/>
      <c r="J142" s="9"/>
      <c r="K142" s="9"/>
      <c r="L142" s="9"/>
    </row>
    <row r="143" spans="1:12" hidden="1">
      <c r="A143" s="12" t="s">
        <v>235</v>
      </c>
      <c r="B143" s="14">
        <v>0.2</v>
      </c>
      <c r="C143" s="15" t="s">
        <v>29</v>
      </c>
      <c r="D143" s="14">
        <f>$E$122/B143</f>
        <v>3529.25</v>
      </c>
      <c r="E143" s="11"/>
      <c r="F143" s="9"/>
      <c r="G143" s="9"/>
      <c r="H143" s="9"/>
      <c r="I143" s="9"/>
      <c r="J143" s="9"/>
      <c r="K143" s="9"/>
      <c r="L143" s="9"/>
    </row>
    <row r="144" spans="1:12" hidden="1">
      <c r="A144" s="12" t="s">
        <v>236</v>
      </c>
      <c r="B144" s="14">
        <v>0.8</v>
      </c>
      <c r="C144" s="15" t="s">
        <v>29</v>
      </c>
      <c r="D144" s="14">
        <f>$E$122/B144</f>
        <v>882.3125</v>
      </c>
      <c r="E144" s="11"/>
      <c r="F144" s="9"/>
      <c r="G144" s="9"/>
      <c r="H144" s="9"/>
      <c r="I144" s="9"/>
      <c r="J144" s="9"/>
      <c r="K144" s="9"/>
      <c r="L144" s="9"/>
    </row>
    <row r="145" spans="1:12" hidden="1">
      <c r="A145" s="12" t="s">
        <v>120</v>
      </c>
      <c r="B145" s="14">
        <v>7.5</v>
      </c>
      <c r="C145" s="15" t="s">
        <v>36</v>
      </c>
      <c r="D145" s="14">
        <f>$E$122/B145</f>
        <v>94.11333333333333</v>
      </c>
      <c r="E145" s="11"/>
      <c r="F145" s="9"/>
      <c r="G145" s="9"/>
      <c r="H145" s="9"/>
      <c r="I145" s="9"/>
      <c r="J145" s="9"/>
      <c r="K145" s="9"/>
      <c r="L145" s="9"/>
    </row>
    <row r="146" spans="1:12">
      <c r="A146" s="12" t="s">
        <v>237</v>
      </c>
      <c r="B146" s="14">
        <v>5</v>
      </c>
      <c r="C146" s="15" t="s">
        <v>36</v>
      </c>
      <c r="D146" s="14">
        <f>ROUND($E$122/$B$146,2)</f>
        <v>141.16999999999999</v>
      </c>
      <c r="E146" s="11"/>
      <c r="F146" s="9"/>
      <c r="G146" s="9"/>
      <c r="H146" s="9"/>
      <c r="I146" s="9"/>
      <c r="J146" s="9"/>
      <c r="K146" s="9"/>
      <c r="L146" s="9"/>
    </row>
    <row r="147" spans="1:12" hidden="1">
      <c r="A147" s="12" t="s">
        <v>238</v>
      </c>
      <c r="B147" s="14">
        <v>2.95</v>
      </c>
      <c r="C147" s="15" t="s">
        <v>36</v>
      </c>
      <c r="D147" s="14">
        <f>$E$122/B147</f>
        <v>239.27118644067795</v>
      </c>
      <c r="E147" s="11"/>
      <c r="F147" s="9"/>
      <c r="G147" s="9"/>
      <c r="H147" s="9"/>
      <c r="I147" s="9"/>
      <c r="J147" s="9"/>
      <c r="K147" s="9"/>
      <c r="L147" s="9"/>
    </row>
    <row r="148" spans="1:12">
      <c r="A148" s="12" t="s">
        <v>239</v>
      </c>
      <c r="B148" s="14">
        <v>2.5</v>
      </c>
      <c r="C148" s="15" t="s">
        <v>36</v>
      </c>
      <c r="D148" s="27">
        <f>ROUND($E$122/$B$148,2)</f>
        <v>282.33999999999997</v>
      </c>
      <c r="E148" s="11"/>
      <c r="F148" s="9"/>
      <c r="G148" s="9"/>
      <c r="H148" s="9"/>
      <c r="I148" s="9"/>
      <c r="J148" s="9"/>
      <c r="K148" s="9"/>
      <c r="L148" s="9"/>
    </row>
    <row r="149" spans="1:12">
      <c r="A149" s="12" t="s">
        <v>240</v>
      </c>
      <c r="B149" s="14">
        <v>5.5</v>
      </c>
      <c r="C149" s="15" t="s">
        <v>36</v>
      </c>
      <c r="D149" s="14">
        <v>194.06</v>
      </c>
      <c r="E149" s="11"/>
      <c r="F149" s="9"/>
      <c r="G149" s="9"/>
      <c r="H149" s="9"/>
      <c r="I149" s="9"/>
      <c r="J149" s="9"/>
      <c r="K149" s="9"/>
      <c r="L149" s="9"/>
    </row>
    <row r="150" spans="1:12" hidden="1">
      <c r="A150" s="12" t="s">
        <v>241</v>
      </c>
      <c r="B150" s="14">
        <v>2.75</v>
      </c>
      <c r="C150" s="15" t="s">
        <v>36</v>
      </c>
      <c r="D150" s="14">
        <f>$E$122/B150</f>
        <v>256.67272727272729</v>
      </c>
      <c r="E150" s="11"/>
      <c r="F150" s="9"/>
      <c r="G150" s="9"/>
      <c r="H150" s="9"/>
      <c r="I150" s="9"/>
      <c r="J150" s="9"/>
      <c r="K150" s="9"/>
      <c r="L150" s="9"/>
    </row>
    <row r="151" spans="1:12" hidden="1">
      <c r="A151" s="12" t="s">
        <v>242</v>
      </c>
      <c r="B151" s="14">
        <v>12</v>
      </c>
      <c r="C151" s="15" t="s">
        <v>36</v>
      </c>
      <c r="D151" s="14">
        <f>$E$122/B151</f>
        <v>58.820833333333333</v>
      </c>
      <c r="E151" s="11"/>
      <c r="F151" s="9"/>
      <c r="G151" s="9"/>
      <c r="H151" s="9"/>
      <c r="I151" s="9"/>
      <c r="J151" s="9"/>
      <c r="K151" s="9"/>
      <c r="L151" s="9"/>
    </row>
    <row r="152" spans="1:12" hidden="1">
      <c r="A152" s="12" t="s">
        <v>243</v>
      </c>
      <c r="B152" s="14">
        <v>5</v>
      </c>
      <c r="C152" s="15" t="s">
        <v>11</v>
      </c>
      <c r="D152" s="14">
        <f>$E$122/B152</f>
        <v>141.17000000000002</v>
      </c>
      <c r="E152" s="11"/>
      <c r="F152" s="9"/>
      <c r="G152" s="9"/>
      <c r="H152" s="9"/>
      <c r="I152" s="9"/>
      <c r="J152" s="9"/>
      <c r="K152" s="9"/>
      <c r="L152" s="9"/>
    </row>
    <row r="153" spans="1:12">
      <c r="A153" s="12" t="s">
        <v>244</v>
      </c>
      <c r="B153" s="14">
        <v>5.4</v>
      </c>
      <c r="C153" s="15" t="s">
        <v>11</v>
      </c>
      <c r="D153" s="27">
        <f>ROUND($E$122/$B$153,2)</f>
        <v>130.71</v>
      </c>
      <c r="E153" s="11">
        <v>13</v>
      </c>
      <c r="F153" s="9"/>
      <c r="G153" s="9"/>
      <c r="H153" s="9"/>
      <c r="I153" s="9"/>
      <c r="J153" s="9"/>
      <c r="K153" s="9"/>
      <c r="L153" s="9"/>
    </row>
    <row r="154" spans="1:12">
      <c r="A154" s="12" t="s">
        <v>245</v>
      </c>
      <c r="B154" s="14">
        <v>5</v>
      </c>
      <c r="C154" s="15" t="s">
        <v>11</v>
      </c>
      <c r="D154" s="14">
        <f t="shared" ref="D154:D159" si="5">ROUND($E$122/$B$154,2)</f>
        <v>141.16999999999999</v>
      </c>
      <c r="E154" s="11"/>
      <c r="F154" s="9"/>
      <c r="G154" s="9"/>
      <c r="H154" s="9"/>
      <c r="I154" s="9"/>
      <c r="J154" s="9"/>
      <c r="K154" s="9"/>
      <c r="L154" s="9"/>
    </row>
    <row r="155" spans="1:12" hidden="1">
      <c r="A155" s="12" t="s">
        <v>246</v>
      </c>
      <c r="B155" s="14">
        <v>10</v>
      </c>
      <c r="C155" s="15" t="s">
        <v>36</v>
      </c>
      <c r="D155" s="14">
        <f t="shared" si="5"/>
        <v>141.16999999999999</v>
      </c>
      <c r="E155" s="11"/>
      <c r="F155" s="9"/>
      <c r="G155" s="9"/>
      <c r="H155" s="9"/>
      <c r="I155" s="9"/>
      <c r="J155" s="9"/>
      <c r="K155" s="9"/>
      <c r="L155" s="9"/>
    </row>
    <row r="156" spans="1:12" hidden="1">
      <c r="A156" s="12" t="s">
        <v>247</v>
      </c>
      <c r="B156" s="14">
        <v>15</v>
      </c>
      <c r="C156" s="15" t="s">
        <v>36</v>
      </c>
      <c r="D156" s="14">
        <f t="shared" si="5"/>
        <v>141.16999999999999</v>
      </c>
      <c r="E156" s="11"/>
      <c r="F156" s="9"/>
      <c r="G156" s="9"/>
      <c r="H156" s="9"/>
      <c r="I156" s="9"/>
      <c r="J156" s="9"/>
      <c r="K156" s="9"/>
      <c r="L156" s="9"/>
    </row>
    <row r="157" spans="1:12" hidden="1">
      <c r="A157" s="12" t="s">
        <v>248</v>
      </c>
      <c r="B157" s="14">
        <v>2.23</v>
      </c>
      <c r="C157" s="15" t="s">
        <v>11</v>
      </c>
      <c r="D157" s="14">
        <f t="shared" si="5"/>
        <v>141.16999999999999</v>
      </c>
      <c r="E157" s="11"/>
      <c r="F157" s="9"/>
      <c r="G157" s="9"/>
      <c r="H157" s="9"/>
      <c r="I157" s="9"/>
      <c r="J157" s="9"/>
      <c r="K157" s="9"/>
      <c r="L157" s="9"/>
    </row>
    <row r="158" spans="1:12" hidden="1">
      <c r="A158" s="12" t="s">
        <v>249</v>
      </c>
      <c r="B158" s="14">
        <v>2.1</v>
      </c>
      <c r="C158" s="15" t="s">
        <v>11</v>
      </c>
      <c r="D158" s="14">
        <f t="shared" si="5"/>
        <v>141.16999999999999</v>
      </c>
      <c r="E158" s="11"/>
      <c r="F158" s="9"/>
      <c r="G158" s="9"/>
      <c r="H158" s="9"/>
      <c r="I158" s="9"/>
      <c r="J158" s="9"/>
      <c r="K158" s="9"/>
      <c r="L158" s="9"/>
    </row>
    <row r="159" spans="1:12" hidden="1">
      <c r="A159" s="12" t="s">
        <v>250</v>
      </c>
      <c r="B159" s="14">
        <v>3.5</v>
      </c>
      <c r="C159" s="15" t="s">
        <v>11</v>
      </c>
      <c r="D159" s="14">
        <f t="shared" si="5"/>
        <v>141.16999999999999</v>
      </c>
      <c r="E159" s="11"/>
      <c r="F159" s="9"/>
      <c r="G159" s="9"/>
      <c r="H159" s="9"/>
      <c r="I159" s="9"/>
      <c r="J159" s="9"/>
      <c r="K159" s="9"/>
      <c r="L159" s="9"/>
    </row>
    <row r="160" spans="1:12">
      <c r="A160" s="12" t="s">
        <v>251</v>
      </c>
      <c r="B160" s="14">
        <v>2</v>
      </c>
      <c r="C160" s="15" t="s">
        <v>11</v>
      </c>
      <c r="D160" s="14">
        <f>ROUND($E$122/$B$160,2)</f>
        <v>352.93</v>
      </c>
      <c r="E160" s="11"/>
      <c r="F160" s="9"/>
      <c r="G160" s="9"/>
      <c r="H160" s="9"/>
      <c r="I160" s="9"/>
      <c r="J160" s="9"/>
      <c r="K160" s="9"/>
      <c r="L160" s="9"/>
    </row>
    <row r="161" spans="1:12" hidden="1">
      <c r="A161" s="12" t="s">
        <v>252</v>
      </c>
      <c r="B161" s="14">
        <v>2.1</v>
      </c>
      <c r="C161" s="15" t="s">
        <v>11</v>
      </c>
      <c r="D161" s="14">
        <f t="shared" ref="D161:D196" si="6">$E$122/B161</f>
        <v>336.11904761904759</v>
      </c>
      <c r="E161" s="11"/>
      <c r="F161" s="9"/>
      <c r="G161" s="9"/>
      <c r="H161" s="9"/>
      <c r="I161" s="9"/>
      <c r="J161" s="9"/>
      <c r="K161" s="9"/>
      <c r="L161" s="9"/>
    </row>
    <row r="162" spans="1:12" hidden="1">
      <c r="A162" s="12" t="s">
        <v>253</v>
      </c>
      <c r="B162" s="14">
        <v>2.5</v>
      </c>
      <c r="C162" s="15" t="s">
        <v>11</v>
      </c>
      <c r="D162" s="14">
        <f t="shared" si="6"/>
        <v>282.34000000000003</v>
      </c>
      <c r="E162" s="11"/>
      <c r="F162" s="9"/>
      <c r="G162" s="9"/>
      <c r="H162" s="9"/>
      <c r="I162" s="9"/>
      <c r="J162" s="9"/>
      <c r="K162" s="9"/>
      <c r="L162" s="9"/>
    </row>
    <row r="163" spans="1:12">
      <c r="A163" s="12" t="s">
        <v>254</v>
      </c>
      <c r="B163" s="14">
        <v>2.1</v>
      </c>
      <c r="C163" s="15" t="s">
        <v>11</v>
      </c>
      <c r="D163" s="14">
        <f>ROUND($E$122/$B$163,2)</f>
        <v>336.12</v>
      </c>
      <c r="E163" s="11"/>
      <c r="F163" s="9"/>
      <c r="G163" s="9"/>
      <c r="H163" s="9"/>
      <c r="I163" s="9"/>
      <c r="J163" s="9"/>
      <c r="K163" s="9"/>
      <c r="L163" s="9"/>
    </row>
    <row r="164" spans="1:12" hidden="1">
      <c r="A164" s="12" t="s">
        <v>255</v>
      </c>
      <c r="B164" s="14">
        <v>4</v>
      </c>
      <c r="C164" s="15" t="s">
        <v>11</v>
      </c>
      <c r="D164" s="14">
        <f t="shared" si="6"/>
        <v>176.46250000000001</v>
      </c>
      <c r="E164" s="11"/>
      <c r="F164" s="9"/>
      <c r="G164" s="9"/>
      <c r="H164" s="9"/>
      <c r="I164" s="9"/>
      <c r="J164" s="9"/>
      <c r="K164" s="9"/>
      <c r="L164" s="9"/>
    </row>
    <row r="165" spans="1:12" hidden="1">
      <c r="A165" s="12" t="s">
        <v>256</v>
      </c>
      <c r="B165" s="14">
        <v>8</v>
      </c>
      <c r="C165" s="15" t="s">
        <v>29</v>
      </c>
      <c r="D165" s="14">
        <f t="shared" si="6"/>
        <v>88.231250000000003</v>
      </c>
      <c r="E165" s="11"/>
      <c r="F165" s="9"/>
      <c r="G165" s="9"/>
      <c r="H165" s="9"/>
      <c r="I165" s="9"/>
      <c r="J165" s="9"/>
      <c r="K165" s="9"/>
      <c r="L165" s="9"/>
    </row>
    <row r="166" spans="1:12" hidden="1">
      <c r="A166" s="12" t="s">
        <v>257</v>
      </c>
      <c r="B166" s="14">
        <v>7</v>
      </c>
      <c r="C166" s="15" t="s">
        <v>36</v>
      </c>
      <c r="D166" s="14">
        <f t="shared" si="6"/>
        <v>100.83571428571429</v>
      </c>
      <c r="E166" s="11"/>
      <c r="F166" s="9"/>
      <c r="G166" s="9"/>
      <c r="H166" s="9"/>
      <c r="I166" s="9"/>
      <c r="J166" s="9"/>
      <c r="K166" s="9"/>
      <c r="L166" s="9"/>
    </row>
    <row r="167" spans="1:12" hidden="1">
      <c r="A167" s="12" t="s">
        <v>258</v>
      </c>
      <c r="B167" s="14">
        <v>5.5</v>
      </c>
      <c r="C167" s="15" t="s">
        <v>11</v>
      </c>
      <c r="D167" s="14">
        <f t="shared" si="6"/>
        <v>128.33636363636364</v>
      </c>
      <c r="E167" s="11"/>
      <c r="F167" s="9"/>
      <c r="G167" s="9"/>
      <c r="H167" s="9"/>
      <c r="I167" s="9"/>
      <c r="J167" s="9"/>
      <c r="K167" s="9"/>
      <c r="L167" s="9"/>
    </row>
    <row r="168" spans="1:12" hidden="1">
      <c r="A168" s="12" t="s">
        <v>259</v>
      </c>
      <c r="B168" s="14">
        <v>1.75</v>
      </c>
      <c r="C168" s="15" t="s">
        <v>11</v>
      </c>
      <c r="D168" s="14">
        <f t="shared" si="6"/>
        <v>403.34285714285716</v>
      </c>
      <c r="E168" s="11"/>
      <c r="F168" s="9"/>
      <c r="G168" s="9"/>
      <c r="H168" s="9"/>
      <c r="I168" s="9"/>
      <c r="J168" s="9"/>
      <c r="K168" s="9"/>
      <c r="L168" s="9"/>
    </row>
    <row r="169" spans="1:12" hidden="1">
      <c r="A169" s="12" t="s">
        <v>260</v>
      </c>
      <c r="B169" s="14">
        <v>1.65</v>
      </c>
      <c r="C169" s="15" t="s">
        <v>11</v>
      </c>
      <c r="D169" s="14">
        <f t="shared" si="6"/>
        <v>427.78787878787881</v>
      </c>
      <c r="E169" s="11"/>
      <c r="F169" s="9"/>
      <c r="G169" s="9"/>
      <c r="H169" s="9"/>
      <c r="I169" s="9"/>
      <c r="J169" s="9"/>
      <c r="K169" s="9"/>
      <c r="L169" s="9"/>
    </row>
    <row r="170" spans="1:12" hidden="1">
      <c r="A170" s="12" t="s">
        <v>261</v>
      </c>
      <c r="B170" s="14">
        <v>25</v>
      </c>
      <c r="C170" s="15" t="s">
        <v>11</v>
      </c>
      <c r="D170" s="14">
        <f t="shared" si="6"/>
        <v>28.234000000000002</v>
      </c>
      <c r="E170" s="11"/>
      <c r="F170" s="9"/>
      <c r="G170" s="9"/>
      <c r="H170" s="9"/>
      <c r="I170" s="9"/>
      <c r="J170" s="9"/>
      <c r="K170" s="9"/>
      <c r="L170" s="9"/>
    </row>
    <row r="171" spans="1:12">
      <c r="A171" s="12" t="s">
        <v>262</v>
      </c>
      <c r="B171" s="14">
        <v>10</v>
      </c>
      <c r="C171" s="15" t="s">
        <v>11</v>
      </c>
      <c r="D171" s="27">
        <f>ROUND($E$122/$B$171,2)</f>
        <v>70.59</v>
      </c>
      <c r="E171" s="11">
        <v>47</v>
      </c>
      <c r="F171" s="9"/>
      <c r="G171" s="9"/>
      <c r="H171" s="9"/>
      <c r="I171" s="9"/>
      <c r="J171" s="9"/>
      <c r="K171" s="9"/>
      <c r="L171" s="9"/>
    </row>
    <row r="172" spans="1:12">
      <c r="A172" s="12" t="s">
        <v>263</v>
      </c>
      <c r="B172" s="14">
        <v>10</v>
      </c>
      <c r="C172" s="15" t="s">
        <v>11</v>
      </c>
      <c r="D172" s="27">
        <f>ROUND($E$122/$B$172,2)</f>
        <v>70.59</v>
      </c>
      <c r="E172" s="11">
        <v>47</v>
      </c>
      <c r="F172" s="9"/>
      <c r="G172" s="9"/>
      <c r="H172" s="9"/>
      <c r="I172" s="9"/>
      <c r="J172" s="9"/>
      <c r="K172" s="9"/>
      <c r="L172" s="9"/>
    </row>
    <row r="173" spans="1:12">
      <c r="A173" s="12" t="s">
        <v>264</v>
      </c>
      <c r="B173" s="14">
        <v>4.5</v>
      </c>
      <c r="C173" s="15" t="s">
        <v>11</v>
      </c>
      <c r="D173" s="27">
        <f>ROUND($E$122/$B$173,2)</f>
        <v>156.86000000000001</v>
      </c>
      <c r="E173" s="11"/>
      <c r="F173" s="9"/>
      <c r="G173" s="9"/>
      <c r="H173" s="9"/>
      <c r="I173" s="9"/>
      <c r="J173" s="9"/>
      <c r="K173" s="9"/>
      <c r="L173" s="9"/>
    </row>
    <row r="174" spans="1:12">
      <c r="A174" s="30" t="s">
        <v>265</v>
      </c>
      <c r="B174" s="14">
        <v>7</v>
      </c>
      <c r="C174" s="15" t="s">
        <v>11</v>
      </c>
      <c r="D174" s="31">
        <v>154</v>
      </c>
      <c r="E174" s="11"/>
      <c r="F174" s="9"/>
      <c r="G174" s="9"/>
      <c r="H174" s="9"/>
      <c r="I174" s="9"/>
      <c r="J174" s="9"/>
      <c r="K174" s="9"/>
      <c r="L174" s="9"/>
    </row>
    <row r="175" spans="1:12">
      <c r="A175" s="12" t="s">
        <v>266</v>
      </c>
      <c r="B175" s="14">
        <v>3.5</v>
      </c>
      <c r="C175" s="15" t="s">
        <v>11</v>
      </c>
      <c r="D175" s="14">
        <f t="shared" si="6"/>
        <v>201.67142857142858</v>
      </c>
      <c r="E175" s="11"/>
      <c r="F175" s="9"/>
      <c r="G175" s="9"/>
      <c r="H175" s="9"/>
      <c r="I175" s="9"/>
      <c r="J175" s="9"/>
      <c r="K175" s="9"/>
      <c r="L175" s="9"/>
    </row>
    <row r="176" spans="1:12">
      <c r="A176" s="12" t="s">
        <v>267</v>
      </c>
      <c r="B176" s="14">
        <v>3.5</v>
      </c>
      <c r="C176" s="15" t="s">
        <v>11</v>
      </c>
      <c r="D176" s="14">
        <f t="shared" si="6"/>
        <v>201.67142857142858</v>
      </c>
      <c r="E176" s="11"/>
      <c r="F176" s="9"/>
      <c r="G176" s="9"/>
      <c r="H176" s="9"/>
      <c r="I176" s="9"/>
      <c r="J176" s="9"/>
      <c r="K176" s="9"/>
      <c r="L176" s="9"/>
    </row>
    <row r="177" spans="1:12">
      <c r="A177" s="12" t="s">
        <v>268</v>
      </c>
      <c r="B177" s="14">
        <v>2</v>
      </c>
      <c r="C177" s="15" t="s">
        <v>11</v>
      </c>
      <c r="D177" s="14">
        <f t="shared" si="6"/>
        <v>352.92500000000001</v>
      </c>
      <c r="E177" s="11"/>
      <c r="F177" s="9"/>
      <c r="G177" s="9"/>
      <c r="H177" s="9"/>
      <c r="I177" s="9"/>
      <c r="J177" s="9"/>
      <c r="K177" s="9"/>
      <c r="L177" s="9"/>
    </row>
    <row r="178" spans="1:12">
      <c r="A178" s="12" t="s">
        <v>219</v>
      </c>
      <c r="B178" s="14">
        <v>5</v>
      </c>
      <c r="C178" s="15" t="s">
        <v>11</v>
      </c>
      <c r="D178" s="14">
        <v>145.44999999999999</v>
      </c>
      <c r="E178" s="11"/>
      <c r="F178" s="9"/>
      <c r="G178" s="9"/>
      <c r="H178" s="9"/>
      <c r="I178" s="9"/>
      <c r="J178" s="9"/>
      <c r="K178" s="9"/>
      <c r="L178" s="9"/>
    </row>
    <row r="179" spans="1:12">
      <c r="A179" s="12" t="s">
        <v>269</v>
      </c>
      <c r="B179" s="14">
        <v>4.5</v>
      </c>
      <c r="C179" s="15" t="s">
        <v>11</v>
      </c>
      <c r="D179" s="27">
        <f>ROUND($E$122/$B$179,2)</f>
        <v>156.86000000000001</v>
      </c>
      <c r="E179" s="11"/>
      <c r="F179" s="9"/>
      <c r="G179" s="9"/>
      <c r="H179" s="9"/>
      <c r="I179" s="9"/>
      <c r="J179" s="9"/>
      <c r="K179" s="9"/>
      <c r="L179" s="9"/>
    </row>
    <row r="180" spans="1:12">
      <c r="A180" s="12" t="s">
        <v>270</v>
      </c>
      <c r="B180" s="14">
        <v>5</v>
      </c>
      <c r="C180" s="15" t="s">
        <v>11</v>
      </c>
      <c r="D180" s="27">
        <f>ROUND($E$122/$B$180,2)</f>
        <v>141.16999999999999</v>
      </c>
      <c r="E180" s="11"/>
      <c r="F180" s="9"/>
      <c r="G180" s="9"/>
      <c r="H180" s="9"/>
      <c r="I180" s="9"/>
      <c r="J180" s="9"/>
      <c r="K180" s="9"/>
      <c r="L180" s="9"/>
    </row>
    <row r="181" spans="1:12">
      <c r="A181" s="12" t="s">
        <v>271</v>
      </c>
      <c r="B181" s="14">
        <v>5.25</v>
      </c>
      <c r="C181" s="15" t="s">
        <v>11</v>
      </c>
      <c r="D181" s="14">
        <f t="shared" si="6"/>
        <v>134.44761904761904</v>
      </c>
      <c r="E181" s="11"/>
      <c r="F181" s="9"/>
      <c r="G181" s="9"/>
      <c r="H181" s="9"/>
      <c r="I181" s="9"/>
      <c r="J181" s="9"/>
      <c r="K181" s="9"/>
      <c r="L181" s="9"/>
    </row>
    <row r="182" spans="1:12">
      <c r="A182" s="12" t="s">
        <v>272</v>
      </c>
      <c r="B182" s="14">
        <v>7.5</v>
      </c>
      <c r="C182" s="15" t="s">
        <v>36</v>
      </c>
      <c r="D182" s="14">
        <f>ROUND($E$122/B182,2)</f>
        <v>94.11</v>
      </c>
      <c r="E182" s="11"/>
      <c r="F182" s="9"/>
      <c r="G182" s="9"/>
      <c r="H182" s="9"/>
      <c r="I182" s="9"/>
      <c r="J182" s="9"/>
      <c r="K182" s="9"/>
      <c r="L182" s="9"/>
    </row>
    <row r="183" spans="1:12" hidden="1">
      <c r="A183" s="12" t="s">
        <v>273</v>
      </c>
      <c r="B183" s="14">
        <v>10</v>
      </c>
      <c r="C183" s="15" t="s">
        <v>36</v>
      </c>
      <c r="D183" s="14">
        <f t="shared" si="6"/>
        <v>70.585000000000008</v>
      </c>
      <c r="E183" s="11"/>
      <c r="F183" s="9"/>
      <c r="G183" s="9"/>
      <c r="H183" s="9"/>
      <c r="I183" s="9"/>
      <c r="J183" s="9"/>
      <c r="K183" s="9"/>
      <c r="L183" s="9"/>
    </row>
    <row r="184" spans="1:12" hidden="1">
      <c r="A184" s="12" t="s">
        <v>274</v>
      </c>
      <c r="B184" s="14">
        <v>6.15</v>
      </c>
      <c r="C184" s="15" t="s">
        <v>11</v>
      </c>
      <c r="D184" s="14">
        <f t="shared" si="6"/>
        <v>114.77235772357723</v>
      </c>
      <c r="E184" s="11"/>
      <c r="F184" s="9"/>
      <c r="G184" s="9"/>
      <c r="H184" s="9"/>
      <c r="I184" s="9"/>
      <c r="J184" s="9"/>
      <c r="K184" s="9"/>
      <c r="L184" s="9"/>
    </row>
    <row r="185" spans="1:12" hidden="1">
      <c r="A185" s="12" t="s">
        <v>275</v>
      </c>
      <c r="B185" s="14">
        <v>6</v>
      </c>
      <c r="C185" s="15" t="s">
        <v>11</v>
      </c>
      <c r="D185" s="14">
        <f t="shared" si="6"/>
        <v>117.64166666666667</v>
      </c>
      <c r="E185" s="11"/>
      <c r="F185" s="9"/>
      <c r="G185" s="9"/>
      <c r="H185" s="9"/>
      <c r="I185" s="9"/>
      <c r="J185" s="9"/>
      <c r="K185" s="9"/>
      <c r="L185" s="9"/>
    </row>
    <row r="186" spans="1:12">
      <c r="A186" s="12" t="s">
        <v>276</v>
      </c>
      <c r="B186" s="14">
        <v>35</v>
      </c>
      <c r="C186" s="15" t="s">
        <v>11</v>
      </c>
      <c r="D186" s="14">
        <f>ROUND($E$122/$B$186,2)</f>
        <v>20.170000000000002</v>
      </c>
      <c r="E186" s="11"/>
      <c r="F186" s="9"/>
      <c r="G186" s="9"/>
      <c r="H186" s="9"/>
      <c r="I186" s="9"/>
      <c r="J186" s="9"/>
      <c r="K186" s="9"/>
      <c r="L186" s="9"/>
    </row>
    <row r="187" spans="1:12">
      <c r="A187" s="12" t="s">
        <v>277</v>
      </c>
      <c r="B187" s="14">
        <v>8.5</v>
      </c>
      <c r="C187" s="15" t="s">
        <v>11</v>
      </c>
      <c r="D187" s="14">
        <f>ROUND($E$122/$B$187,2)</f>
        <v>83.04</v>
      </c>
      <c r="E187" s="11"/>
      <c r="F187" s="9"/>
      <c r="G187" s="9"/>
      <c r="H187" s="9"/>
      <c r="I187" s="9"/>
      <c r="J187" s="9"/>
      <c r="K187" s="9"/>
      <c r="L187" s="9"/>
    </row>
    <row r="188" spans="1:12" ht="13.5" hidden="1" customHeight="1">
      <c r="A188" s="12" t="s">
        <v>27</v>
      </c>
      <c r="B188" s="14">
        <v>55</v>
      </c>
      <c r="C188" s="15" t="s">
        <v>36</v>
      </c>
      <c r="D188" s="14">
        <f t="shared" si="6"/>
        <v>12.833636363636364</v>
      </c>
      <c r="E188" s="11"/>
      <c r="F188" s="9"/>
      <c r="G188" s="9"/>
      <c r="H188" s="9"/>
      <c r="I188" s="9"/>
      <c r="J188" s="9"/>
      <c r="K188" s="9"/>
      <c r="L188" s="9"/>
    </row>
    <row r="189" spans="1:12">
      <c r="A189" s="12" t="s">
        <v>278</v>
      </c>
      <c r="B189" s="14">
        <v>25</v>
      </c>
      <c r="C189" s="15" t="s">
        <v>36</v>
      </c>
      <c r="D189" s="27">
        <f>ROUND($E$122/$B$189,2)</f>
        <v>28.23</v>
      </c>
      <c r="E189" s="11">
        <v>25</v>
      </c>
      <c r="F189" s="9"/>
      <c r="G189" s="9"/>
      <c r="H189" s="9"/>
      <c r="I189" s="9"/>
      <c r="J189" s="9"/>
      <c r="K189" s="9"/>
      <c r="L189" s="9"/>
    </row>
    <row r="190" spans="1:12">
      <c r="A190" s="12" t="s">
        <v>279</v>
      </c>
      <c r="B190" s="14">
        <v>15</v>
      </c>
      <c r="C190" s="15" t="s">
        <v>36</v>
      </c>
      <c r="D190" s="14">
        <f>ROUND($E$122/$B$190,2)</f>
        <v>47.06</v>
      </c>
      <c r="E190" s="11">
        <v>25</v>
      </c>
      <c r="F190" s="9"/>
      <c r="G190" s="9"/>
      <c r="H190" s="9"/>
      <c r="I190" s="9"/>
      <c r="J190" s="9"/>
      <c r="K190" s="9"/>
      <c r="L190" s="9"/>
    </row>
    <row r="191" spans="1:12">
      <c r="A191" s="12" t="s">
        <v>280</v>
      </c>
      <c r="B191" s="14">
        <v>10</v>
      </c>
      <c r="C191" s="15" t="s">
        <v>36</v>
      </c>
      <c r="D191" s="14">
        <f>ROUND($E$122/$B$191,2)</f>
        <v>70.59</v>
      </c>
      <c r="E191" s="11"/>
      <c r="F191" s="9"/>
      <c r="G191" s="9"/>
      <c r="H191" s="9"/>
      <c r="I191" s="9"/>
      <c r="J191" s="9"/>
      <c r="K191" s="9"/>
      <c r="L191" s="9"/>
    </row>
    <row r="192" spans="1:12">
      <c r="A192" s="12" t="s">
        <v>281</v>
      </c>
      <c r="B192" s="14">
        <v>3</v>
      </c>
      <c r="C192" s="15" t="s">
        <v>36</v>
      </c>
      <c r="D192" s="14">
        <f>ROUND($E$122/$B$192,2)</f>
        <v>235.28</v>
      </c>
      <c r="E192" s="11"/>
      <c r="F192" s="9"/>
      <c r="G192" s="9"/>
      <c r="H192" s="9"/>
      <c r="I192" s="9"/>
      <c r="J192" s="9"/>
      <c r="K192" s="9"/>
      <c r="L192" s="9"/>
    </row>
    <row r="193" spans="1:12" hidden="1">
      <c r="A193" s="12" t="s">
        <v>282</v>
      </c>
      <c r="B193" s="14">
        <v>5</v>
      </c>
      <c r="C193" s="15" t="s">
        <v>11</v>
      </c>
      <c r="D193" s="14">
        <f t="shared" si="6"/>
        <v>141.17000000000002</v>
      </c>
      <c r="E193" s="11"/>
      <c r="F193" s="9"/>
      <c r="G193" s="9"/>
      <c r="H193" s="9"/>
      <c r="I193" s="9"/>
      <c r="J193" s="9"/>
      <c r="K193" s="9"/>
      <c r="L193" s="9"/>
    </row>
    <row r="194" spans="1:12">
      <c r="A194" s="12" t="s">
        <v>283</v>
      </c>
      <c r="B194" s="14">
        <v>2.25</v>
      </c>
      <c r="C194" s="15" t="s">
        <v>11</v>
      </c>
      <c r="D194" s="14">
        <f>ROUND($E$122/B194,2)</f>
        <v>313.70999999999998</v>
      </c>
      <c r="E194" s="11"/>
      <c r="F194" s="9"/>
      <c r="G194" s="9"/>
      <c r="H194" s="9"/>
      <c r="I194" s="9"/>
      <c r="J194" s="9"/>
      <c r="K194" s="9"/>
      <c r="L194" s="9"/>
    </row>
    <row r="195" spans="1:12" hidden="1">
      <c r="A195" s="12" t="s">
        <v>284</v>
      </c>
      <c r="B195" s="14">
        <v>5.5</v>
      </c>
      <c r="C195" s="15" t="s">
        <v>11</v>
      </c>
      <c r="D195" s="14">
        <f t="shared" si="6"/>
        <v>128.33636363636364</v>
      </c>
      <c r="E195" s="11"/>
      <c r="F195" s="9"/>
      <c r="G195" s="9"/>
      <c r="H195" s="9"/>
      <c r="I195" s="9"/>
      <c r="J195" s="9"/>
      <c r="K195" s="9"/>
      <c r="L195" s="9"/>
    </row>
    <row r="196" spans="1:12" hidden="1">
      <c r="A196" s="12" t="s">
        <v>285</v>
      </c>
      <c r="B196" s="14">
        <v>3.5</v>
      </c>
      <c r="C196" s="15" t="s">
        <v>36</v>
      </c>
      <c r="D196" s="14">
        <f t="shared" si="6"/>
        <v>201.67142857142858</v>
      </c>
      <c r="E196" s="11"/>
      <c r="F196" s="9"/>
      <c r="G196" s="9"/>
      <c r="H196" s="9"/>
      <c r="I196" s="9"/>
      <c r="J196" s="9"/>
      <c r="K196" s="9"/>
      <c r="L196" s="9"/>
    </row>
    <row r="197" spans="1:12" hidden="1">
      <c r="A197" s="12" t="s">
        <v>286</v>
      </c>
      <c r="B197" s="14">
        <v>1</v>
      </c>
      <c r="C197" s="15" t="s">
        <v>11</v>
      </c>
      <c r="D197" s="14">
        <v>7.5</v>
      </c>
      <c r="E197" s="11"/>
      <c r="F197" s="9"/>
      <c r="G197" s="9"/>
      <c r="H197" s="9"/>
      <c r="I197" s="9"/>
      <c r="J197" s="9"/>
      <c r="K197" s="9"/>
      <c r="L197" s="9"/>
    </row>
    <row r="198" spans="1:12" hidden="1">
      <c r="A198" s="12" t="s">
        <v>287</v>
      </c>
      <c r="B198" s="14">
        <v>1</v>
      </c>
      <c r="C198" s="15" t="s">
        <v>11</v>
      </c>
      <c r="D198" s="14">
        <v>18.5</v>
      </c>
      <c r="E198" s="11"/>
      <c r="F198" s="9"/>
      <c r="G198" s="9"/>
      <c r="H198" s="9"/>
      <c r="I198" s="9"/>
      <c r="J198" s="9"/>
      <c r="K198" s="9"/>
      <c r="L198" s="9"/>
    </row>
    <row r="199" spans="1:12">
      <c r="A199" s="12" t="s">
        <v>288</v>
      </c>
      <c r="B199" s="14">
        <v>1</v>
      </c>
      <c r="C199" s="15" t="s">
        <v>16</v>
      </c>
      <c r="D199" s="14">
        <v>100</v>
      </c>
      <c r="E199" s="11"/>
      <c r="F199" s="9"/>
      <c r="G199" s="9"/>
      <c r="H199" s="9"/>
      <c r="I199" s="9"/>
      <c r="J199" s="9"/>
      <c r="K199" s="9"/>
      <c r="L199" s="9"/>
    </row>
    <row r="200" spans="1:12">
      <c r="A200" s="12" t="s">
        <v>289</v>
      </c>
      <c r="B200" s="14">
        <v>1</v>
      </c>
      <c r="C200" s="15" t="s">
        <v>91</v>
      </c>
      <c r="D200" s="14">
        <v>50</v>
      </c>
      <c r="E200" s="11"/>
      <c r="F200" s="9"/>
      <c r="G200" s="9"/>
      <c r="H200" s="9"/>
      <c r="I200" s="9"/>
      <c r="J200" s="9"/>
      <c r="K200" s="9"/>
      <c r="L200" s="9"/>
    </row>
    <row r="201" spans="1:12">
      <c r="A201" s="12" t="s">
        <v>290</v>
      </c>
      <c r="B201" s="14">
        <v>1</v>
      </c>
      <c r="C201" s="15" t="s">
        <v>91</v>
      </c>
      <c r="D201" s="14">
        <v>25</v>
      </c>
      <c r="E201" s="11"/>
      <c r="F201" s="9"/>
      <c r="G201" s="9"/>
      <c r="H201" s="9"/>
      <c r="I201" s="9"/>
      <c r="J201" s="9"/>
      <c r="K201" s="9"/>
      <c r="L201" s="9"/>
    </row>
    <row r="202" spans="1:12">
      <c r="A202" s="12" t="s">
        <v>291</v>
      </c>
      <c r="B202" s="14">
        <v>1</v>
      </c>
      <c r="C202" s="15" t="s">
        <v>39</v>
      </c>
      <c r="D202" s="14">
        <v>150</v>
      </c>
      <c r="E202" s="11"/>
      <c r="F202" s="9"/>
      <c r="G202" s="9"/>
      <c r="H202" s="9"/>
      <c r="I202" s="9"/>
      <c r="J202" s="9"/>
      <c r="K202" s="9"/>
      <c r="L202" s="9"/>
    </row>
    <row r="203" spans="1:12">
      <c r="A203" s="12" t="s">
        <v>292</v>
      </c>
      <c r="B203" s="25"/>
      <c r="C203" s="15" t="s">
        <v>29</v>
      </c>
      <c r="D203" s="14">
        <f>+E203*1.2</f>
        <v>2.04</v>
      </c>
      <c r="E203" s="11">
        <v>1.7</v>
      </c>
      <c r="F203" s="9"/>
      <c r="G203" s="9"/>
      <c r="H203" s="9"/>
      <c r="I203" s="9"/>
      <c r="J203" s="9"/>
      <c r="K203" s="9"/>
      <c r="L203" s="9"/>
    </row>
    <row r="204" spans="1:12">
      <c r="A204" s="12" t="s">
        <v>293</v>
      </c>
      <c r="B204" s="7"/>
      <c r="C204" s="15" t="s">
        <v>11</v>
      </c>
      <c r="D204" s="28">
        <f>1*13</f>
        <v>13</v>
      </c>
      <c r="E204" s="12"/>
      <c r="F204" s="9"/>
      <c r="G204" s="9"/>
      <c r="H204" s="9"/>
      <c r="I204" s="9"/>
      <c r="J204" s="9"/>
      <c r="K204" s="9"/>
      <c r="L204" s="9"/>
    </row>
    <row r="205" spans="1:12">
      <c r="A205" s="12" t="s">
        <v>294</v>
      </c>
      <c r="B205" s="7"/>
      <c r="C205" s="15" t="s">
        <v>295</v>
      </c>
      <c r="D205" s="28">
        <f>2*7</f>
        <v>14</v>
      </c>
      <c r="E205" s="12"/>
      <c r="F205" s="9"/>
      <c r="G205" s="9"/>
      <c r="H205" s="9"/>
      <c r="I205" s="9"/>
      <c r="J205" s="9"/>
      <c r="K205" s="9"/>
      <c r="L205" s="9"/>
    </row>
    <row r="206" spans="1:12">
      <c r="A206" s="12" t="s">
        <v>296</v>
      </c>
      <c r="B206" s="11"/>
      <c r="C206" s="15"/>
      <c r="D206" s="11">
        <v>1</v>
      </c>
      <c r="E206" s="12"/>
      <c r="F206" s="9"/>
      <c r="G206" s="9"/>
      <c r="H206" s="9"/>
      <c r="I206" s="9"/>
      <c r="J206" s="9"/>
      <c r="K206" s="9"/>
      <c r="L206" s="9"/>
    </row>
    <row r="207" spans="1:12" hidden="1">
      <c r="B207" s="7"/>
      <c r="C207" s="7"/>
      <c r="D207" s="11"/>
      <c r="E207" s="12"/>
      <c r="F207" s="9"/>
      <c r="G207" s="9"/>
      <c r="H207" s="9"/>
      <c r="I207" s="9"/>
      <c r="J207" s="9"/>
      <c r="K207" s="9"/>
      <c r="L207" s="9"/>
    </row>
    <row r="208" spans="1:12" ht="15.75" hidden="1">
      <c r="A208" s="22"/>
      <c r="B208" s="11"/>
      <c r="C208" s="15"/>
      <c r="D208" s="11"/>
      <c r="E208" s="12"/>
      <c r="F208" s="9"/>
      <c r="G208" s="9"/>
      <c r="H208" s="9"/>
      <c r="I208" s="9"/>
      <c r="J208" s="9"/>
      <c r="K208" s="9"/>
      <c r="L208" s="9"/>
    </row>
    <row r="209" spans="1:12" ht="15.75" hidden="1">
      <c r="A209" s="22" t="s">
        <v>297</v>
      </c>
      <c r="B209" s="11"/>
      <c r="C209" s="11"/>
      <c r="D209" s="11"/>
      <c r="E209" s="12"/>
      <c r="F209" s="9"/>
      <c r="G209" s="9"/>
      <c r="H209" s="9"/>
      <c r="I209" s="9"/>
      <c r="J209" s="9"/>
      <c r="K209" s="9"/>
      <c r="L209" s="9"/>
    </row>
    <row r="210" spans="1:12" hidden="1">
      <c r="A210" s="12" t="s">
        <v>187</v>
      </c>
      <c r="B210" s="11"/>
      <c r="C210" s="11"/>
      <c r="D210" s="11"/>
      <c r="E210" s="12"/>
      <c r="F210" s="9"/>
      <c r="G210" s="9"/>
      <c r="H210" s="9"/>
      <c r="I210" s="9"/>
      <c r="J210" s="9"/>
      <c r="K210" s="9"/>
      <c r="L210" s="9"/>
    </row>
    <row r="211" spans="1:12" hidden="1">
      <c r="A211" s="12" t="s">
        <v>129</v>
      </c>
      <c r="B211" s="11">
        <v>4</v>
      </c>
      <c r="C211" s="11" t="s">
        <v>298</v>
      </c>
      <c r="D211" s="11">
        <v>113.74999999999999</v>
      </c>
      <c r="E211" s="16">
        <f>ROUND(D211*B211,2)</f>
        <v>455</v>
      </c>
      <c r="F211" s="9"/>
      <c r="G211" s="9"/>
      <c r="H211" s="9"/>
      <c r="I211" s="9"/>
      <c r="J211" s="9"/>
      <c r="K211" s="9"/>
      <c r="L211" s="9"/>
    </row>
    <row r="212" spans="1:12" hidden="1">
      <c r="A212" s="12" t="s">
        <v>299</v>
      </c>
      <c r="B212" s="11">
        <v>32</v>
      </c>
      <c r="C212" s="11" t="s">
        <v>298</v>
      </c>
      <c r="D212" s="14">
        <v>46.999580360889638</v>
      </c>
      <c r="E212" s="16">
        <f>ROUND(D212*B212,2)</f>
        <v>1503.99</v>
      </c>
      <c r="F212" s="9"/>
      <c r="G212" s="9"/>
      <c r="H212" s="9"/>
      <c r="I212" s="9"/>
      <c r="J212" s="9"/>
      <c r="K212" s="9"/>
      <c r="L212" s="9"/>
    </row>
    <row r="213" spans="1:12" ht="15.75" hidden="1">
      <c r="A213" s="12" t="s">
        <v>33</v>
      </c>
      <c r="B213" s="11" t="s">
        <v>33</v>
      </c>
      <c r="C213" s="11" t="s">
        <v>33</v>
      </c>
      <c r="D213" s="18" t="s">
        <v>164</v>
      </c>
      <c r="E213" s="19">
        <f>E212+E211</f>
        <v>1958.99</v>
      </c>
      <c r="F213" s="9"/>
      <c r="G213" s="9"/>
      <c r="H213" s="9"/>
      <c r="I213" s="9"/>
      <c r="J213" s="9"/>
      <c r="K213" s="9"/>
      <c r="L213" s="9"/>
    </row>
    <row r="214" spans="1:12" ht="15.75" hidden="1">
      <c r="A214" s="12"/>
      <c r="B214" s="11"/>
      <c r="C214" s="11"/>
      <c r="D214" s="18"/>
      <c r="E214" s="19"/>
      <c r="F214" s="9"/>
      <c r="G214" s="9"/>
      <c r="H214" s="9"/>
      <c r="I214" s="9"/>
      <c r="J214" s="9"/>
      <c r="K214" s="9"/>
      <c r="L214" s="9"/>
    </row>
    <row r="215" spans="1:12" hidden="1">
      <c r="A215" s="9" t="s">
        <v>300</v>
      </c>
      <c r="B215" s="25" t="s">
        <v>33</v>
      </c>
      <c r="C215" s="25" t="s">
        <v>33</v>
      </c>
      <c r="D215" s="32" t="s">
        <v>33</v>
      </c>
      <c r="E215" s="33" t="s">
        <v>33</v>
      </c>
      <c r="F215" s="9"/>
      <c r="G215" s="9"/>
      <c r="H215" s="9"/>
      <c r="I215" s="9"/>
      <c r="J215" s="9"/>
      <c r="K215" s="9"/>
      <c r="L215" s="9"/>
    </row>
    <row r="216" spans="1:12" hidden="1">
      <c r="A216" s="9" t="s">
        <v>301</v>
      </c>
      <c r="B216" s="34">
        <v>950</v>
      </c>
      <c r="C216" s="28" t="s">
        <v>302</v>
      </c>
      <c r="D216" s="35">
        <f t="shared" ref="D216:D225" si="7">$E$213/B216</f>
        <v>2.0620947368421052</v>
      </c>
      <c r="E216" s="36" t="s">
        <v>303</v>
      </c>
      <c r="F216" s="9"/>
      <c r="G216" s="9"/>
      <c r="H216" s="9"/>
      <c r="I216" s="9"/>
      <c r="J216" s="9"/>
      <c r="K216" s="9"/>
      <c r="L216" s="9"/>
    </row>
    <row r="217" spans="1:12" hidden="1">
      <c r="A217" s="9" t="s">
        <v>304</v>
      </c>
      <c r="B217" s="37">
        <v>5</v>
      </c>
      <c r="C217" s="25" t="s">
        <v>305</v>
      </c>
      <c r="D217" s="38">
        <f t="shared" si="7"/>
        <v>391.798</v>
      </c>
      <c r="E217" s="17" t="s">
        <v>306</v>
      </c>
      <c r="F217" s="9"/>
      <c r="G217" s="9"/>
      <c r="H217" s="9"/>
      <c r="I217" s="9"/>
      <c r="J217" s="9"/>
      <c r="K217" s="9"/>
      <c r="L217" s="9"/>
    </row>
    <row r="218" spans="1:12" hidden="1">
      <c r="A218" s="9" t="s">
        <v>307</v>
      </c>
      <c r="B218" s="37">
        <v>5</v>
      </c>
      <c r="C218" s="25" t="s">
        <v>305</v>
      </c>
      <c r="D218" s="38">
        <f t="shared" si="7"/>
        <v>391.798</v>
      </c>
      <c r="E218" s="17" t="s">
        <v>306</v>
      </c>
      <c r="F218" s="9"/>
      <c r="G218" s="9"/>
      <c r="H218" s="9"/>
      <c r="I218" s="9"/>
      <c r="J218" s="9"/>
      <c r="K218" s="9"/>
      <c r="L218" s="9"/>
    </row>
    <row r="219" spans="1:12" hidden="1">
      <c r="A219" s="9" t="s">
        <v>308</v>
      </c>
      <c r="B219" s="37">
        <v>30</v>
      </c>
      <c r="C219" s="25" t="s">
        <v>309</v>
      </c>
      <c r="D219" s="38">
        <f t="shared" si="7"/>
        <v>65.299666666666667</v>
      </c>
      <c r="E219" s="9" t="s">
        <v>310</v>
      </c>
      <c r="F219" s="9"/>
      <c r="G219" s="9"/>
      <c r="H219" s="9"/>
      <c r="I219" s="9"/>
      <c r="J219" s="9"/>
      <c r="K219" s="9"/>
      <c r="L219" s="9"/>
    </row>
    <row r="220" spans="1:12" hidden="1">
      <c r="A220" s="9" t="s">
        <v>311</v>
      </c>
      <c r="B220" s="37">
        <v>200</v>
      </c>
      <c r="C220" s="25" t="s">
        <v>312</v>
      </c>
      <c r="D220" s="38">
        <f t="shared" si="7"/>
        <v>9.79495</v>
      </c>
      <c r="E220" s="9" t="s">
        <v>313</v>
      </c>
      <c r="F220" s="9"/>
      <c r="G220" s="9"/>
      <c r="H220" s="9"/>
      <c r="I220" s="9"/>
      <c r="J220" s="9"/>
      <c r="K220" s="9"/>
      <c r="L220" s="9"/>
    </row>
    <row r="221" spans="1:12" hidden="1">
      <c r="A221" s="9" t="s">
        <v>314</v>
      </c>
      <c r="B221" s="25">
        <v>1250</v>
      </c>
      <c r="C221" s="25" t="s">
        <v>10</v>
      </c>
      <c r="D221" s="38">
        <f t="shared" si="7"/>
        <v>1.5671919999999999</v>
      </c>
      <c r="E221" s="9" t="s">
        <v>315</v>
      </c>
      <c r="F221" s="9"/>
      <c r="G221" s="9"/>
      <c r="H221" s="9"/>
      <c r="I221" s="9"/>
      <c r="J221" s="9"/>
      <c r="K221" s="9"/>
      <c r="L221" s="9"/>
    </row>
    <row r="222" spans="1:12" hidden="1">
      <c r="A222" s="39" t="s">
        <v>316</v>
      </c>
      <c r="B222" s="40">
        <v>350</v>
      </c>
      <c r="C222" s="39" t="s">
        <v>11</v>
      </c>
      <c r="D222" s="38">
        <f t="shared" si="7"/>
        <v>5.5971142857142855</v>
      </c>
      <c r="E222" s="9" t="s">
        <v>317</v>
      </c>
      <c r="F222" s="9"/>
      <c r="G222" s="9"/>
      <c r="H222" s="9"/>
      <c r="I222" s="9"/>
      <c r="J222" s="9"/>
      <c r="K222" s="9"/>
      <c r="L222" s="9"/>
    </row>
    <row r="223" spans="1:12" hidden="1">
      <c r="A223" s="39" t="s">
        <v>318</v>
      </c>
      <c r="B223" s="40">
        <v>1000</v>
      </c>
      <c r="C223" s="39" t="s">
        <v>15</v>
      </c>
      <c r="D223" s="38">
        <f t="shared" si="7"/>
        <v>1.95899</v>
      </c>
      <c r="E223" s="9" t="s">
        <v>319</v>
      </c>
      <c r="F223" s="9"/>
      <c r="G223" s="9"/>
      <c r="H223" s="9"/>
      <c r="I223" s="9"/>
      <c r="J223" s="9"/>
      <c r="K223" s="9"/>
      <c r="L223" s="9"/>
    </row>
    <row r="224" spans="1:12" hidden="1">
      <c r="A224" s="39" t="s">
        <v>320</v>
      </c>
      <c r="B224" s="40">
        <v>5</v>
      </c>
      <c r="C224" s="39" t="s">
        <v>25</v>
      </c>
      <c r="D224" s="38">
        <f t="shared" si="7"/>
        <v>391.798</v>
      </c>
      <c r="E224" s="17" t="s">
        <v>306</v>
      </c>
      <c r="F224" s="9"/>
      <c r="G224" s="9"/>
      <c r="H224" s="9"/>
      <c r="I224" s="9"/>
      <c r="J224" s="9"/>
      <c r="K224" s="9"/>
      <c r="L224" s="9"/>
    </row>
    <row r="225" spans="1:12" hidden="1">
      <c r="A225" s="39" t="s">
        <v>321</v>
      </c>
      <c r="B225" s="25">
        <v>1000</v>
      </c>
      <c r="C225" s="25" t="s">
        <v>36</v>
      </c>
      <c r="D225" s="25">
        <f t="shared" si="7"/>
        <v>1.95899</v>
      </c>
      <c r="E225" s="9" t="s">
        <v>322</v>
      </c>
      <c r="F225" s="9"/>
      <c r="G225" s="9"/>
      <c r="H225" s="9"/>
      <c r="I225" s="9"/>
      <c r="J225" s="9"/>
      <c r="K225" s="9"/>
      <c r="L225" s="9"/>
    </row>
    <row r="226" spans="1:12" hidden="1">
      <c r="A226" s="12"/>
      <c r="B226" s="11"/>
      <c r="C226" s="15"/>
      <c r="D226" s="11"/>
      <c r="E226" s="12"/>
      <c r="F226" s="9"/>
      <c r="G226" s="9"/>
      <c r="H226" s="9"/>
      <c r="I226" s="9"/>
      <c r="J226" s="9"/>
      <c r="K226" s="9"/>
      <c r="L226" s="9"/>
    </row>
    <row r="227" spans="1:12" ht="15.75" hidden="1">
      <c r="A227" s="13" t="s">
        <v>323</v>
      </c>
      <c r="B227" s="11"/>
      <c r="C227" s="15"/>
      <c r="D227" s="11"/>
      <c r="E227" s="12"/>
      <c r="F227" s="9"/>
      <c r="G227" s="9"/>
      <c r="H227" s="9"/>
      <c r="I227" s="9"/>
      <c r="J227" s="9"/>
      <c r="K227" s="9"/>
      <c r="L227" s="9"/>
    </row>
    <row r="228" spans="1:12" hidden="1">
      <c r="A228" s="12" t="s">
        <v>324</v>
      </c>
      <c r="B228" s="11"/>
      <c r="C228" s="15"/>
      <c r="D228" s="11"/>
      <c r="E228" s="12"/>
      <c r="F228" s="9"/>
      <c r="G228" s="9"/>
      <c r="H228" s="9"/>
      <c r="I228" s="9"/>
      <c r="J228" s="9"/>
      <c r="K228" s="9"/>
      <c r="L228" s="9"/>
    </row>
    <row r="229" spans="1:12" hidden="1">
      <c r="A229" s="12" t="s">
        <v>311</v>
      </c>
      <c r="B229" s="14">
        <f>0.25/30</f>
        <v>8.3333333333333332E-3</v>
      </c>
      <c r="C229" s="15" t="s">
        <v>325</v>
      </c>
      <c r="D229" s="14" t="e">
        <v>#REF!</v>
      </c>
      <c r="E229" s="16" t="e">
        <f>ROUND(D229*B229,2)</f>
        <v>#REF!</v>
      </c>
      <c r="F229" s="9"/>
      <c r="G229" s="9"/>
      <c r="H229" s="9"/>
      <c r="I229" s="9"/>
      <c r="J229" s="9"/>
      <c r="K229" s="9"/>
      <c r="L229" s="9"/>
    </row>
    <row r="230" spans="1:12" hidden="1">
      <c r="A230" s="12" t="s">
        <v>326</v>
      </c>
      <c r="B230" s="14">
        <v>0.03</v>
      </c>
      <c r="C230" s="15" t="s">
        <v>130</v>
      </c>
      <c r="D230" s="41">
        <f>$E$10</f>
        <v>400.07</v>
      </c>
      <c r="E230" s="16">
        <f>ROUND(D230*B230,2)</f>
        <v>12</v>
      </c>
      <c r="F230" s="9"/>
      <c r="G230" s="9"/>
      <c r="H230" s="9"/>
      <c r="I230" s="9"/>
      <c r="J230" s="9"/>
      <c r="K230" s="9"/>
      <c r="L230" s="9"/>
    </row>
    <row r="231" spans="1:12" hidden="1">
      <c r="A231" s="12" t="s">
        <v>327</v>
      </c>
      <c r="B231" s="14">
        <f>1.5/2</f>
        <v>0.75</v>
      </c>
      <c r="C231" s="15" t="s">
        <v>100</v>
      </c>
      <c r="D231" s="14">
        <v>40</v>
      </c>
      <c r="E231" s="16">
        <f>ROUND(D231*B231,2)</f>
        <v>30</v>
      </c>
      <c r="F231" s="9"/>
      <c r="G231" s="9"/>
      <c r="H231" s="9"/>
      <c r="I231" s="9"/>
      <c r="J231" s="9"/>
      <c r="K231" s="9"/>
      <c r="L231" s="9"/>
    </row>
    <row r="232" spans="1:12" ht="15.75" hidden="1">
      <c r="A232" s="12"/>
      <c r="B232" s="11"/>
      <c r="C232" s="15"/>
      <c r="D232" s="18" t="s">
        <v>328</v>
      </c>
      <c r="E232" s="19" t="e">
        <f>SUM(E229:E231)</f>
        <v>#REF!</v>
      </c>
      <c r="F232" s="9"/>
      <c r="G232" s="9"/>
      <c r="H232" s="9"/>
      <c r="I232" s="9"/>
      <c r="J232" s="9"/>
      <c r="K232" s="9"/>
      <c r="L232" s="9"/>
    </row>
    <row r="233" spans="1:12" hidden="1">
      <c r="A233" s="12"/>
      <c r="B233" s="11"/>
      <c r="C233" s="15"/>
      <c r="D233" s="11"/>
      <c r="E233" s="12"/>
      <c r="F233" s="9"/>
      <c r="G233" s="9"/>
      <c r="H233" s="9"/>
      <c r="I233" s="9"/>
      <c r="J233" s="9"/>
      <c r="K233" s="9"/>
      <c r="L233" s="9"/>
    </row>
    <row r="234" spans="1:12" ht="15.75" hidden="1">
      <c r="A234" s="13" t="s">
        <v>329</v>
      </c>
      <c r="B234" s="11"/>
      <c r="C234" s="15"/>
      <c r="D234" s="11"/>
      <c r="E234" s="12"/>
      <c r="F234" s="9"/>
      <c r="G234" s="9"/>
      <c r="H234" s="9"/>
      <c r="I234" s="9"/>
      <c r="J234" s="9"/>
      <c r="K234" s="9"/>
      <c r="L234" s="9"/>
    </row>
    <row r="235" spans="1:12" hidden="1">
      <c r="A235" s="12" t="s">
        <v>99</v>
      </c>
      <c r="B235" s="14">
        <v>0.159</v>
      </c>
      <c r="C235" s="15" t="s">
        <v>15</v>
      </c>
      <c r="D235" s="14">
        <v>21.81</v>
      </c>
      <c r="E235" s="16">
        <f>ROUND(D235*B235,2)</f>
        <v>3.47</v>
      </c>
      <c r="F235" s="9"/>
      <c r="G235" s="9"/>
      <c r="H235" s="9"/>
      <c r="I235" s="9"/>
      <c r="J235" s="9"/>
      <c r="K235" s="9"/>
      <c r="L235" s="9"/>
    </row>
    <row r="236" spans="1:12" hidden="1">
      <c r="A236" s="12" t="s">
        <v>326</v>
      </c>
      <c r="B236" s="14">
        <v>0.03</v>
      </c>
      <c r="C236" s="15" t="s">
        <v>130</v>
      </c>
      <c r="D236" s="41">
        <f>$E$10</f>
        <v>400.07</v>
      </c>
      <c r="E236" s="16">
        <f>ROUND(D236*B236,2)</f>
        <v>12</v>
      </c>
      <c r="F236" s="9"/>
      <c r="G236" s="9"/>
      <c r="H236" s="9"/>
      <c r="I236" s="9"/>
      <c r="J236" s="9"/>
      <c r="K236" s="9"/>
      <c r="L236" s="9"/>
    </row>
    <row r="237" spans="1:12" hidden="1">
      <c r="A237" s="12" t="s">
        <v>330</v>
      </c>
      <c r="B237" s="14">
        <v>1</v>
      </c>
      <c r="C237" s="15" t="s">
        <v>39</v>
      </c>
      <c r="D237" s="14" t="e">
        <f>D243</f>
        <v>#REF!</v>
      </c>
      <c r="E237" s="16" t="e">
        <f>ROUND(D237*B237,2)</f>
        <v>#REF!</v>
      </c>
      <c r="F237" s="9"/>
      <c r="G237" s="9"/>
      <c r="H237" s="9"/>
      <c r="I237" s="9"/>
      <c r="J237" s="9"/>
      <c r="K237" s="9"/>
      <c r="L237" s="9"/>
    </row>
    <row r="238" spans="1:12" ht="15.75" hidden="1">
      <c r="A238" s="12"/>
      <c r="B238" s="11"/>
      <c r="C238" s="15"/>
      <c r="D238" s="18" t="s">
        <v>328</v>
      </c>
      <c r="E238" s="19" t="e">
        <f>SUM(E235:E237)</f>
        <v>#REF!</v>
      </c>
      <c r="F238" s="9"/>
      <c r="G238" s="9"/>
      <c r="H238" s="9"/>
      <c r="I238" s="9"/>
      <c r="J238" s="9"/>
      <c r="K238" s="9"/>
      <c r="L238" s="9"/>
    </row>
    <row r="239" spans="1:12" hidden="1">
      <c r="A239" s="12"/>
      <c r="B239" s="11"/>
      <c r="C239" s="15"/>
      <c r="D239" s="11"/>
      <c r="E239" s="12"/>
      <c r="F239" s="9"/>
      <c r="G239" s="9"/>
      <c r="H239" s="9"/>
      <c r="I239" s="9"/>
      <c r="J239" s="9"/>
      <c r="K239" s="9"/>
      <c r="L239" s="9"/>
    </row>
    <row r="240" spans="1:12" ht="15.75" hidden="1">
      <c r="A240" s="13" t="s">
        <v>331</v>
      </c>
      <c r="B240" s="11"/>
      <c r="C240" s="15"/>
      <c r="D240" s="11"/>
      <c r="E240" s="12"/>
      <c r="F240" s="9"/>
      <c r="G240" s="9"/>
      <c r="H240" s="9"/>
      <c r="I240" s="9"/>
      <c r="J240" s="9"/>
      <c r="K240" s="9"/>
      <c r="L240" s="9"/>
    </row>
    <row r="241" spans="1:12" hidden="1">
      <c r="A241" s="12" t="s">
        <v>99</v>
      </c>
      <c r="B241" s="14">
        <v>0.159</v>
      </c>
      <c r="C241" s="15" t="s">
        <v>15</v>
      </c>
      <c r="D241" s="14">
        <v>21.81</v>
      </c>
      <c r="E241" s="16">
        <f>ROUND(D241*B241,2)</f>
        <v>3.47</v>
      </c>
      <c r="F241" s="9"/>
      <c r="G241" s="9"/>
      <c r="H241" s="9"/>
      <c r="I241" s="9"/>
      <c r="J241" s="9"/>
      <c r="K241" s="9"/>
      <c r="L241" s="9"/>
    </row>
    <row r="242" spans="1:12" hidden="1">
      <c r="A242" s="12" t="s">
        <v>326</v>
      </c>
      <c r="B242" s="14">
        <v>0.02</v>
      </c>
      <c r="C242" s="15" t="s">
        <v>130</v>
      </c>
      <c r="D242" s="41">
        <f>$E$10</f>
        <v>400.07</v>
      </c>
      <c r="E242" s="16">
        <f>ROUND(D242*B242,2)</f>
        <v>8</v>
      </c>
      <c r="F242" s="9"/>
      <c r="G242" s="9"/>
      <c r="H242" s="9"/>
      <c r="I242" s="9"/>
      <c r="J242" s="9"/>
      <c r="K242" s="9"/>
      <c r="L242" s="9"/>
    </row>
    <row r="243" spans="1:12" hidden="1">
      <c r="A243" s="12" t="s">
        <v>332</v>
      </c>
      <c r="B243" s="14">
        <v>1</v>
      </c>
      <c r="C243" s="15" t="s">
        <v>39</v>
      </c>
      <c r="D243" s="14" t="e">
        <v>#REF!</v>
      </c>
      <c r="E243" s="16" t="e">
        <f>ROUND(D243*B243,2)</f>
        <v>#REF!</v>
      </c>
      <c r="F243" s="9"/>
      <c r="G243" s="9"/>
      <c r="H243" s="9"/>
      <c r="I243" s="9"/>
      <c r="J243" s="9"/>
      <c r="K243" s="9"/>
      <c r="L243" s="9"/>
    </row>
    <row r="244" spans="1:12" ht="15.75" hidden="1">
      <c r="A244" s="12"/>
      <c r="B244" s="11"/>
      <c r="C244" s="11"/>
      <c r="D244" s="18" t="s">
        <v>328</v>
      </c>
      <c r="E244" s="19" t="e">
        <f>SUM(E241:E243)</f>
        <v>#REF!</v>
      </c>
      <c r="F244" s="9"/>
      <c r="G244" s="9"/>
      <c r="H244" s="9"/>
      <c r="I244" s="9"/>
      <c r="J244" s="9"/>
      <c r="K244" s="9"/>
      <c r="L244" s="9"/>
    </row>
    <row r="245" spans="1:12" ht="15.75" hidden="1">
      <c r="A245" s="42" t="s">
        <v>333</v>
      </c>
      <c r="B245" s="11"/>
      <c r="C245" s="15"/>
      <c r="D245" s="11"/>
      <c r="E245" s="12"/>
      <c r="F245" s="9"/>
      <c r="G245" s="9"/>
      <c r="H245" s="9"/>
      <c r="I245" s="9"/>
      <c r="J245" s="9"/>
      <c r="K245" s="9"/>
      <c r="L245" s="9"/>
    </row>
    <row r="246" spans="1:12" hidden="1">
      <c r="A246" s="12" t="s">
        <v>99</v>
      </c>
      <c r="B246" s="14">
        <v>0.159</v>
      </c>
      <c r="C246" s="15" t="s">
        <v>15</v>
      </c>
      <c r="D246" s="14">
        <v>21.81</v>
      </c>
      <c r="E246" s="16">
        <f>ROUND(D246*B246,2)</f>
        <v>3.47</v>
      </c>
      <c r="F246" s="9"/>
      <c r="G246" s="9"/>
      <c r="H246" s="9"/>
      <c r="I246" s="9"/>
      <c r="J246" s="9"/>
      <c r="K246" s="9"/>
      <c r="L246" s="9"/>
    </row>
    <row r="247" spans="1:12" hidden="1">
      <c r="A247" s="12" t="s">
        <v>326</v>
      </c>
      <c r="B247" s="14">
        <v>1.7999999999999999E-2</v>
      </c>
      <c r="C247" s="15" t="s">
        <v>130</v>
      </c>
      <c r="D247" s="41">
        <f>$E$10</f>
        <v>400.07</v>
      </c>
      <c r="E247" s="16">
        <f>ROUND(D247*B247,2)</f>
        <v>7.2</v>
      </c>
      <c r="F247" s="9"/>
      <c r="G247" s="9"/>
      <c r="H247" s="9"/>
      <c r="I247" s="9"/>
      <c r="J247" s="9"/>
      <c r="K247" s="9"/>
      <c r="L247" s="9"/>
    </row>
    <row r="248" spans="1:12" hidden="1">
      <c r="A248" s="12" t="s">
        <v>327</v>
      </c>
      <c r="B248" s="14">
        <v>0.25</v>
      </c>
      <c r="C248" s="15" t="s">
        <v>100</v>
      </c>
      <c r="D248" s="14">
        <v>40</v>
      </c>
      <c r="E248" s="16">
        <f>ROUND(D248*B248,2)</f>
        <v>10</v>
      </c>
      <c r="F248" s="9"/>
      <c r="G248" s="9"/>
      <c r="H248" s="9"/>
      <c r="I248" s="9"/>
      <c r="J248" s="9"/>
      <c r="K248" s="9"/>
      <c r="L248" s="9"/>
    </row>
    <row r="249" spans="1:12" hidden="1">
      <c r="A249" s="12" t="s">
        <v>334</v>
      </c>
      <c r="B249" s="14"/>
      <c r="C249" s="15"/>
      <c r="D249" s="14"/>
      <c r="E249" s="16"/>
      <c r="F249" s="9"/>
      <c r="G249" s="9"/>
      <c r="H249" s="9"/>
      <c r="I249" s="9"/>
      <c r="J249" s="9"/>
      <c r="K249" s="9"/>
      <c r="L249" s="9"/>
    </row>
    <row r="250" spans="1:12" hidden="1">
      <c r="A250" s="12" t="s">
        <v>327</v>
      </c>
      <c r="B250" s="14">
        <f>B248*5</f>
        <v>1.25</v>
      </c>
      <c r="C250" s="15" t="s">
        <v>10</v>
      </c>
      <c r="D250" s="43">
        <f>$D$221</f>
        <v>1.5671919999999999</v>
      </c>
      <c r="E250" s="16">
        <f>ROUND(D250*B250,2)</f>
        <v>1.96</v>
      </c>
      <c r="F250" s="9"/>
      <c r="G250" s="9"/>
      <c r="H250" s="9"/>
      <c r="I250" s="9"/>
      <c r="J250" s="9"/>
      <c r="K250" s="9"/>
      <c r="L250" s="9"/>
    </row>
    <row r="251" spans="1:12" ht="15.75" hidden="1">
      <c r="A251" s="12"/>
      <c r="B251" s="11"/>
      <c r="C251" s="11"/>
      <c r="D251" s="18" t="s">
        <v>328</v>
      </c>
      <c r="E251" s="19">
        <f>SUM(E246:E250)</f>
        <v>22.630000000000003</v>
      </c>
      <c r="F251" s="9"/>
      <c r="G251" s="9"/>
      <c r="H251" s="9"/>
      <c r="I251" s="9"/>
      <c r="J251" s="9"/>
      <c r="K251" s="9"/>
      <c r="L251" s="9"/>
    </row>
    <row r="252" spans="1:12" hidden="1">
      <c r="A252" s="12"/>
      <c r="B252" s="11"/>
      <c r="C252" s="11"/>
      <c r="D252" s="11"/>
      <c r="E252" s="12"/>
      <c r="F252" s="9"/>
      <c r="G252" s="9"/>
      <c r="H252" s="9"/>
      <c r="I252" s="9"/>
      <c r="J252" s="9"/>
      <c r="K252" s="9"/>
      <c r="L252" s="9"/>
    </row>
    <row r="253" spans="1:12">
      <c r="A253" s="12"/>
      <c r="B253" s="11"/>
      <c r="C253" s="11"/>
      <c r="D253" s="11"/>
      <c r="E253" s="12"/>
      <c r="F253" s="9"/>
      <c r="G253" s="9"/>
      <c r="H253" s="9"/>
      <c r="I253" s="9"/>
      <c r="J253" s="9"/>
      <c r="K253" s="9"/>
      <c r="L253" s="9"/>
    </row>
    <row r="254" spans="1:12" s="30" customFormat="1" ht="15.75">
      <c r="A254" s="44" t="s">
        <v>335</v>
      </c>
      <c r="B254" s="45"/>
      <c r="C254" s="45" t="s">
        <v>336</v>
      </c>
      <c r="D254" s="45">
        <v>381.76</v>
      </c>
    </row>
    <row r="255" spans="1:12" s="30" customFormat="1" ht="15.75">
      <c r="A255" s="44" t="s">
        <v>337</v>
      </c>
      <c r="B255" s="45"/>
      <c r="C255" s="45" t="s">
        <v>336</v>
      </c>
      <c r="D255" s="45">
        <v>572.64</v>
      </c>
    </row>
    <row r="256" spans="1:12" s="30" customFormat="1" ht="15.75">
      <c r="A256" s="44" t="s">
        <v>338</v>
      </c>
      <c r="B256" s="45"/>
      <c r="C256" s="45" t="s">
        <v>336</v>
      </c>
      <c r="D256" s="45">
        <v>1145.28</v>
      </c>
    </row>
    <row r="257" spans="1:12">
      <c r="A257" s="12"/>
      <c r="B257" s="11"/>
      <c r="C257" s="11"/>
      <c r="D257" s="11"/>
      <c r="E257" s="12"/>
      <c r="F257" s="9"/>
      <c r="G257" s="9"/>
      <c r="H257" s="9"/>
      <c r="I257" s="9"/>
      <c r="J257" s="9"/>
      <c r="K257" s="9"/>
      <c r="L257" s="9"/>
    </row>
    <row r="258" spans="1:12">
      <c r="A258" s="12"/>
      <c r="B258" s="11"/>
      <c r="C258" s="11"/>
      <c r="D258" s="11"/>
      <c r="E258" s="12"/>
      <c r="F258" s="9"/>
      <c r="G258" s="9"/>
      <c r="H258" s="9"/>
      <c r="I258" s="9"/>
      <c r="J258" s="9"/>
      <c r="K258" s="9"/>
      <c r="L258" s="9"/>
    </row>
    <row r="259" spans="1:12">
      <c r="A259" s="12"/>
      <c r="B259" s="11"/>
      <c r="C259" s="11"/>
      <c r="D259" s="11"/>
      <c r="E259" s="12"/>
      <c r="F259" s="9"/>
      <c r="G259" s="9"/>
      <c r="H259" s="9"/>
      <c r="I259" s="9"/>
      <c r="J259" s="9"/>
      <c r="K259" s="9"/>
      <c r="L259" s="9"/>
    </row>
    <row r="260" spans="1:12">
      <c r="A260" s="12"/>
      <c r="B260" s="11"/>
      <c r="C260" s="11"/>
      <c r="D260" s="11"/>
      <c r="E260" s="12"/>
      <c r="F260" s="9"/>
      <c r="G260" s="9"/>
      <c r="H260" s="9"/>
      <c r="I260" s="9"/>
      <c r="J260" s="9"/>
      <c r="K260" s="9"/>
      <c r="L260" s="9"/>
    </row>
    <row r="261" spans="1:12">
      <c r="A261" s="12"/>
      <c r="B261" s="11"/>
      <c r="C261" s="11"/>
      <c r="D261" s="11"/>
      <c r="E261" s="12"/>
      <c r="F261" s="9"/>
      <c r="G261" s="9"/>
      <c r="H261" s="9"/>
      <c r="I261" s="9"/>
      <c r="J261" s="9"/>
      <c r="K261" s="9"/>
      <c r="L261" s="9"/>
    </row>
    <row r="262" spans="1:12" ht="15.75">
      <c r="A262" s="13" t="s">
        <v>339</v>
      </c>
      <c r="B262" s="11"/>
      <c r="C262" s="11"/>
      <c r="D262" s="11"/>
      <c r="E262" s="12"/>
      <c r="F262" s="9"/>
      <c r="G262" s="9"/>
      <c r="H262" s="9"/>
      <c r="I262" s="9"/>
      <c r="J262" s="9"/>
      <c r="K262" s="9"/>
      <c r="L262" s="9"/>
    </row>
    <row r="263" spans="1:12">
      <c r="A263" s="12" t="s">
        <v>187</v>
      </c>
      <c r="B263" s="14">
        <v>8</v>
      </c>
      <c r="C263" s="15" t="s">
        <v>340</v>
      </c>
      <c r="D263" s="11"/>
      <c r="E263" s="12"/>
      <c r="F263" s="9"/>
      <c r="G263" s="9"/>
      <c r="H263" s="9"/>
      <c r="I263" s="9"/>
      <c r="J263" s="9"/>
      <c r="K263" s="9"/>
      <c r="L263" s="9"/>
    </row>
    <row r="264" spans="1:12">
      <c r="A264" s="12" t="s">
        <v>341</v>
      </c>
      <c r="B264" s="14">
        <v>8</v>
      </c>
      <c r="C264" s="14">
        <v>145.25</v>
      </c>
      <c r="D264" s="14">
        <f>ROUND(C264*B264,2)</f>
        <v>1162</v>
      </c>
      <c r="E264" s="12"/>
      <c r="F264" s="9"/>
      <c r="G264" s="9"/>
      <c r="H264" s="9"/>
      <c r="I264" s="9"/>
      <c r="J264" s="9"/>
      <c r="K264" s="9"/>
      <c r="L264" s="9"/>
    </row>
    <row r="265" spans="1:12">
      <c r="A265" s="12" t="s">
        <v>342</v>
      </c>
      <c r="B265" s="14">
        <v>24</v>
      </c>
      <c r="C265" s="14">
        <v>50.315999999999995</v>
      </c>
      <c r="D265" s="14">
        <f>ROUND(C265*B265,2)</f>
        <v>1207.58</v>
      </c>
      <c r="E265" s="12"/>
      <c r="F265" s="9"/>
      <c r="G265" s="9"/>
      <c r="H265" s="9"/>
      <c r="I265" s="9"/>
      <c r="J265" s="9"/>
      <c r="K265" s="9"/>
      <c r="L265" s="9"/>
    </row>
    <row r="266" spans="1:12" ht="15.75">
      <c r="A266" s="12"/>
      <c r="B266" s="11"/>
      <c r="C266" s="18" t="s">
        <v>164</v>
      </c>
      <c r="D266" s="29">
        <f>D265+D264</f>
        <v>2369.58</v>
      </c>
      <c r="E266" s="12"/>
      <c r="F266" s="9"/>
      <c r="G266" s="9"/>
      <c r="H266" s="9"/>
      <c r="I266" s="9"/>
      <c r="J266" s="9"/>
      <c r="K266" s="9"/>
      <c r="L266" s="9"/>
    </row>
    <row r="267" spans="1:12">
      <c r="A267" s="12"/>
      <c r="B267" s="11"/>
      <c r="C267" s="11"/>
      <c r="D267" s="11"/>
      <c r="E267" s="12"/>
      <c r="F267" s="9"/>
      <c r="G267" s="9"/>
      <c r="H267" s="9"/>
      <c r="I267" s="9"/>
      <c r="J267" s="9"/>
      <c r="K267" s="9"/>
      <c r="L267" s="9"/>
    </row>
    <row r="268" spans="1:12">
      <c r="A268" s="12" t="s">
        <v>343</v>
      </c>
      <c r="B268" s="11"/>
      <c r="C268" s="14">
        <v>80</v>
      </c>
      <c r="D268" s="27">
        <v>47.31</v>
      </c>
      <c r="E268" s="12" t="s">
        <v>344</v>
      </c>
      <c r="F268" s="9"/>
      <c r="G268" s="9"/>
      <c r="H268" s="9"/>
      <c r="I268" s="9"/>
      <c r="J268" s="9"/>
      <c r="K268" s="9"/>
      <c r="L268" s="9"/>
    </row>
    <row r="269" spans="1:12">
      <c r="A269" s="12" t="s">
        <v>345</v>
      </c>
      <c r="B269" s="11"/>
      <c r="C269" s="14"/>
      <c r="D269" s="27">
        <v>64.05</v>
      </c>
      <c r="E269" s="12" t="s">
        <v>344</v>
      </c>
      <c r="F269" s="9"/>
      <c r="G269" s="9"/>
      <c r="H269" s="9"/>
      <c r="I269" s="9"/>
      <c r="J269" s="9"/>
      <c r="K269" s="9"/>
      <c r="L269" s="9"/>
    </row>
    <row r="270" spans="1:12">
      <c r="A270" s="12" t="s">
        <v>346</v>
      </c>
      <c r="B270" s="11"/>
      <c r="C270" s="14">
        <v>80</v>
      </c>
      <c r="D270" s="27">
        <v>58.52</v>
      </c>
      <c r="E270" s="12"/>
      <c r="F270" s="9"/>
      <c r="G270" s="9"/>
      <c r="H270" s="9"/>
      <c r="I270" s="9"/>
      <c r="J270" s="9"/>
      <c r="K270" s="9"/>
      <c r="L270" s="9"/>
    </row>
    <row r="271" spans="1:12">
      <c r="A271" s="12" t="s">
        <v>347</v>
      </c>
      <c r="B271" s="11"/>
      <c r="C271" s="14">
        <v>70</v>
      </c>
      <c r="D271" s="27">
        <v>50.96</v>
      </c>
      <c r="E271" s="12"/>
      <c r="F271" s="9"/>
      <c r="G271" s="9"/>
      <c r="H271" s="9"/>
      <c r="I271" s="9"/>
      <c r="J271" s="9"/>
      <c r="K271" s="9"/>
      <c r="L271" s="9"/>
    </row>
    <row r="272" spans="1:12">
      <c r="A272" s="12" t="s">
        <v>348</v>
      </c>
      <c r="B272" s="11"/>
      <c r="C272" s="14">
        <v>110</v>
      </c>
      <c r="D272" s="14">
        <v>50.96</v>
      </c>
      <c r="E272" s="12"/>
      <c r="F272" s="9"/>
      <c r="G272" s="9"/>
      <c r="H272" s="9"/>
      <c r="I272" s="9"/>
      <c r="J272" s="9"/>
      <c r="K272" s="9"/>
      <c r="L272" s="9"/>
    </row>
    <row r="273" spans="1:12" hidden="1">
      <c r="A273" s="12" t="s">
        <v>349</v>
      </c>
      <c r="B273" s="11">
        <v>1</v>
      </c>
      <c r="C273" s="46" t="s">
        <v>39</v>
      </c>
      <c r="D273" s="14">
        <v>120</v>
      </c>
      <c r="E273" s="12"/>
      <c r="F273" s="9"/>
      <c r="G273" s="9"/>
      <c r="H273" s="9"/>
      <c r="I273" s="9"/>
      <c r="J273" s="9"/>
      <c r="K273" s="9"/>
      <c r="L273" s="9"/>
    </row>
    <row r="274" spans="1:12" ht="15.75" hidden="1">
      <c r="A274" s="13" t="s">
        <v>350</v>
      </c>
      <c r="B274" s="11"/>
      <c r="C274" s="11"/>
      <c r="D274" s="11"/>
      <c r="E274" s="12"/>
      <c r="F274" s="9"/>
      <c r="G274" s="9"/>
      <c r="H274" s="9"/>
      <c r="I274" s="9"/>
      <c r="J274" s="9"/>
      <c r="K274" s="9"/>
      <c r="L274" s="9"/>
    </row>
    <row r="275" spans="1:12" hidden="1">
      <c r="A275" s="12" t="s">
        <v>187</v>
      </c>
      <c r="B275" s="14">
        <v>1</v>
      </c>
      <c r="C275" s="15" t="s">
        <v>25</v>
      </c>
      <c r="D275" s="11">
        <v>25</v>
      </c>
      <c r="E275" s="12" t="s">
        <v>305</v>
      </c>
      <c r="F275" s="9"/>
      <c r="G275" s="9"/>
      <c r="H275" s="9"/>
      <c r="I275" s="9"/>
      <c r="J275" s="9"/>
      <c r="K275" s="9"/>
      <c r="L275" s="9"/>
    </row>
    <row r="276" spans="1:12" hidden="1">
      <c r="A276" s="12" t="s">
        <v>351</v>
      </c>
      <c r="B276" s="14">
        <v>8</v>
      </c>
      <c r="C276" s="15" t="s">
        <v>340</v>
      </c>
      <c r="D276" s="14">
        <v>150</v>
      </c>
      <c r="E276" s="16">
        <f t="shared" ref="E276:E282" si="8">D276*B276</f>
        <v>1200</v>
      </c>
      <c r="F276" s="9"/>
      <c r="G276" s="9"/>
      <c r="H276" s="9"/>
      <c r="I276" s="9"/>
      <c r="J276" s="9"/>
      <c r="K276" s="9"/>
      <c r="L276" s="9"/>
    </row>
    <row r="277" spans="1:12" hidden="1">
      <c r="A277" s="12" t="s">
        <v>352</v>
      </c>
      <c r="B277" s="14">
        <v>5</v>
      </c>
      <c r="C277" s="15" t="s">
        <v>121</v>
      </c>
      <c r="D277" s="14">
        <v>140</v>
      </c>
      <c r="E277" s="16">
        <f t="shared" si="8"/>
        <v>700</v>
      </c>
      <c r="F277" s="9"/>
      <c r="G277" s="9"/>
      <c r="H277" s="9"/>
      <c r="I277" s="9"/>
      <c r="J277" s="9"/>
      <c r="K277" s="9"/>
      <c r="L277" s="9"/>
    </row>
    <row r="278" spans="1:12" hidden="1">
      <c r="A278" s="12" t="s">
        <v>353</v>
      </c>
      <c r="B278" s="14">
        <v>8</v>
      </c>
      <c r="C278" s="15" t="s">
        <v>121</v>
      </c>
      <c r="D278" s="14">
        <v>675</v>
      </c>
      <c r="E278" s="16">
        <f t="shared" si="8"/>
        <v>5400</v>
      </c>
      <c r="F278" s="9"/>
      <c r="G278" s="9"/>
      <c r="H278" s="9"/>
      <c r="I278" s="9"/>
      <c r="J278" s="9"/>
      <c r="K278" s="9"/>
      <c r="L278" s="9"/>
    </row>
    <row r="279" spans="1:12" hidden="1">
      <c r="A279" s="12" t="s">
        <v>354</v>
      </c>
      <c r="B279" s="14">
        <v>10</v>
      </c>
      <c r="C279" s="15" t="s">
        <v>100</v>
      </c>
      <c r="D279" s="14">
        <v>40</v>
      </c>
      <c r="E279" s="16">
        <f t="shared" si="8"/>
        <v>400</v>
      </c>
      <c r="F279" s="9"/>
      <c r="G279" s="9"/>
      <c r="H279" s="9"/>
      <c r="I279" s="9"/>
      <c r="J279" s="9"/>
      <c r="K279" s="9"/>
      <c r="L279" s="9"/>
    </row>
    <row r="280" spans="1:12" hidden="1">
      <c r="A280" s="12" t="s">
        <v>110</v>
      </c>
      <c r="B280" s="14">
        <v>8</v>
      </c>
      <c r="C280" s="15" t="s">
        <v>355</v>
      </c>
      <c r="D280" s="14">
        <v>70.433999999999997</v>
      </c>
      <c r="E280" s="16">
        <f t="shared" si="8"/>
        <v>563.47199999999998</v>
      </c>
      <c r="F280" s="9"/>
      <c r="G280" s="9"/>
      <c r="H280" s="9"/>
      <c r="I280" s="9"/>
      <c r="J280" s="9"/>
      <c r="K280" s="9"/>
      <c r="L280" s="9"/>
    </row>
    <row r="281" spans="1:12" hidden="1">
      <c r="A281" s="12" t="s">
        <v>356</v>
      </c>
      <c r="B281" s="14">
        <v>8</v>
      </c>
      <c r="C281" s="15" t="s">
        <v>355</v>
      </c>
      <c r="D281" s="14">
        <f>E10</f>
        <v>400.07</v>
      </c>
      <c r="E281" s="16">
        <f t="shared" si="8"/>
        <v>3200.56</v>
      </c>
      <c r="F281" s="9"/>
      <c r="G281" s="9"/>
      <c r="H281" s="9"/>
      <c r="I281" s="9"/>
      <c r="J281" s="9"/>
      <c r="K281" s="9"/>
      <c r="L281" s="9"/>
    </row>
    <row r="282" spans="1:12" hidden="1">
      <c r="A282" s="12" t="s">
        <v>357</v>
      </c>
      <c r="B282" s="14">
        <v>8</v>
      </c>
      <c r="C282" s="15" t="s">
        <v>355</v>
      </c>
      <c r="D282" s="14">
        <v>46.999580360889638</v>
      </c>
      <c r="E282" s="16">
        <f t="shared" si="8"/>
        <v>375.9966428871171</v>
      </c>
      <c r="F282" s="9"/>
      <c r="G282" s="9"/>
      <c r="H282" s="9"/>
      <c r="I282" s="9"/>
      <c r="J282" s="9"/>
      <c r="K282" s="9"/>
      <c r="L282" s="9"/>
    </row>
    <row r="283" spans="1:12" ht="15.75" hidden="1">
      <c r="A283" s="12"/>
      <c r="B283" s="11"/>
      <c r="C283" s="18" t="s">
        <v>358</v>
      </c>
      <c r="D283" s="18"/>
      <c r="E283" s="19">
        <f>SUM(E276:E282)</f>
        <v>11840.028642887117</v>
      </c>
      <c r="F283" s="9"/>
      <c r="G283" s="9"/>
      <c r="H283" s="9"/>
      <c r="I283" s="9"/>
      <c r="J283" s="9"/>
      <c r="K283" s="9"/>
      <c r="L283" s="9"/>
    </row>
    <row r="284" spans="1:12" ht="15.75" hidden="1">
      <c r="A284" s="12"/>
      <c r="B284" s="11"/>
      <c r="C284" s="18" t="s">
        <v>359</v>
      </c>
      <c r="D284" s="18"/>
      <c r="E284" s="19">
        <f>E283/D275</f>
        <v>473.60114571548468</v>
      </c>
      <c r="F284" s="9"/>
      <c r="G284" s="9"/>
      <c r="H284" s="9"/>
      <c r="I284" s="9"/>
      <c r="J284" s="9"/>
      <c r="K284" s="9"/>
      <c r="L284" s="9"/>
    </row>
    <row r="285" spans="1:12" hidden="1">
      <c r="A285" s="12"/>
      <c r="B285" s="11"/>
      <c r="C285" s="11"/>
      <c r="D285" s="11"/>
      <c r="E285" s="12"/>
      <c r="F285" s="9"/>
      <c r="G285" s="9"/>
      <c r="H285" s="9"/>
      <c r="I285" s="9"/>
      <c r="J285" s="9"/>
      <c r="K285" s="9"/>
      <c r="L285" s="9"/>
    </row>
    <row r="286" spans="1:12">
      <c r="A286" s="12" t="s">
        <v>360</v>
      </c>
      <c r="B286" s="11"/>
      <c r="C286" s="11">
        <v>60</v>
      </c>
      <c r="D286" s="28">
        <v>50.96</v>
      </c>
      <c r="E286" s="12"/>
      <c r="F286" s="9"/>
      <c r="G286" s="9"/>
      <c r="H286" s="9"/>
      <c r="I286" s="9"/>
      <c r="J286" s="9"/>
      <c r="K286" s="9"/>
      <c r="L286" s="9"/>
    </row>
    <row r="287" spans="1:12">
      <c r="A287" s="12"/>
      <c r="B287" s="11"/>
      <c r="C287" s="11"/>
      <c r="D287" s="11"/>
      <c r="E287" s="12"/>
      <c r="F287" s="9"/>
      <c r="G287" s="9"/>
      <c r="H287" s="9"/>
      <c r="I287" s="9"/>
      <c r="J287" s="9"/>
      <c r="K287" s="9"/>
      <c r="L287" s="9"/>
    </row>
    <row r="288" spans="1:12">
      <c r="A288" s="12"/>
      <c r="B288" s="11"/>
      <c r="C288" s="11"/>
      <c r="D288" s="11"/>
      <c r="E288" s="12"/>
      <c r="F288" s="9"/>
      <c r="G288" s="9"/>
      <c r="H288" s="9"/>
      <c r="I288" s="9"/>
      <c r="J288" s="9"/>
      <c r="K288" s="9"/>
      <c r="L288" s="9"/>
    </row>
    <row r="289" spans="1:12" ht="15.75">
      <c r="A289" s="13" t="s">
        <v>361</v>
      </c>
      <c r="B289" s="11"/>
      <c r="C289" s="11"/>
      <c r="D289" s="11"/>
      <c r="E289" s="12"/>
      <c r="F289" s="9"/>
      <c r="G289" s="9"/>
      <c r="H289" s="9"/>
      <c r="I289" s="9"/>
      <c r="J289" s="9"/>
      <c r="K289" s="9"/>
      <c r="L289" s="9"/>
    </row>
    <row r="290" spans="1:12">
      <c r="A290" s="12" t="s">
        <v>187</v>
      </c>
      <c r="B290" s="11">
        <v>25</v>
      </c>
      <c r="C290" s="11" t="s">
        <v>11</v>
      </c>
      <c r="D290" s="11"/>
      <c r="E290" s="12"/>
      <c r="F290" s="9"/>
      <c r="G290" s="9"/>
      <c r="H290" s="9"/>
      <c r="I290" s="9"/>
      <c r="J290" s="9"/>
      <c r="K290" s="9"/>
      <c r="L290" s="9"/>
    </row>
    <row r="291" spans="1:12">
      <c r="A291" s="12" t="s">
        <v>362</v>
      </c>
      <c r="B291" s="11">
        <f>(5.65*4*3.28*4+8*2*2*5)/(12*4)</f>
        <v>9.5106666666666673</v>
      </c>
      <c r="C291" s="15" t="s">
        <v>100</v>
      </c>
      <c r="D291" s="14">
        <v>40</v>
      </c>
      <c r="E291" s="16">
        <f>ROUND(D291*B291,2)</f>
        <v>380.43</v>
      </c>
      <c r="F291" s="9"/>
      <c r="G291" s="9"/>
      <c r="H291" s="9"/>
      <c r="I291" s="9"/>
      <c r="J291" s="9"/>
      <c r="K291" s="9"/>
      <c r="L291" s="9"/>
    </row>
    <row r="292" spans="1:12">
      <c r="A292" s="12" t="s">
        <v>363</v>
      </c>
      <c r="B292" s="14">
        <v>3</v>
      </c>
      <c r="C292" s="15" t="s">
        <v>15</v>
      </c>
      <c r="D292" s="14">
        <v>21.81</v>
      </c>
      <c r="E292" s="16">
        <f t="shared" ref="E292:E299" si="9">ROUND(D292*B292,2)</f>
        <v>65.430000000000007</v>
      </c>
      <c r="F292" s="9"/>
      <c r="G292" s="9"/>
      <c r="H292" s="9"/>
      <c r="I292" s="9"/>
      <c r="J292" s="9"/>
      <c r="K292" s="9"/>
      <c r="L292" s="9"/>
    </row>
    <row r="293" spans="1:12">
      <c r="A293" s="12" t="s">
        <v>364</v>
      </c>
      <c r="B293" s="14">
        <v>0.25</v>
      </c>
      <c r="C293" s="15" t="s">
        <v>40</v>
      </c>
      <c r="D293" s="14">
        <v>715.4</v>
      </c>
      <c r="E293" s="16">
        <f t="shared" si="9"/>
        <v>178.85</v>
      </c>
      <c r="F293" s="9"/>
      <c r="G293" s="9"/>
      <c r="H293" s="9"/>
      <c r="I293" s="9"/>
      <c r="J293" s="9"/>
      <c r="K293" s="9"/>
      <c r="L293" s="9"/>
    </row>
    <row r="294" spans="1:12">
      <c r="A294" s="12" t="s">
        <v>365</v>
      </c>
      <c r="B294" s="14">
        <v>0.1</v>
      </c>
      <c r="C294" s="15" t="s">
        <v>366</v>
      </c>
      <c r="D294" s="14">
        <f>$D$84/23.83</f>
        <v>2937.4737725556024</v>
      </c>
      <c r="E294" s="16">
        <f t="shared" si="9"/>
        <v>293.75</v>
      </c>
      <c r="F294" s="9"/>
      <c r="G294" s="9"/>
      <c r="H294" s="9"/>
      <c r="I294" s="9"/>
      <c r="J294" s="9"/>
      <c r="K294" s="9"/>
      <c r="L294" s="9"/>
    </row>
    <row r="295" spans="1:12">
      <c r="A295" s="12" t="s">
        <v>367</v>
      </c>
      <c r="B295" s="14">
        <v>0.2</v>
      </c>
      <c r="C295" s="15" t="s">
        <v>40</v>
      </c>
      <c r="D295" s="14">
        <v>375.9966428871171</v>
      </c>
      <c r="E295" s="16">
        <f t="shared" si="9"/>
        <v>75.2</v>
      </c>
      <c r="F295" s="9"/>
      <c r="G295" s="9"/>
      <c r="H295" s="9"/>
      <c r="I295" s="9"/>
      <c r="J295" s="9"/>
      <c r="K295" s="9"/>
      <c r="L295" s="9"/>
    </row>
    <row r="296" spans="1:12">
      <c r="A296" s="12" t="s">
        <v>9</v>
      </c>
      <c r="B296" s="14">
        <v>0.25</v>
      </c>
      <c r="C296" s="15" t="s">
        <v>22</v>
      </c>
      <c r="D296" s="14">
        <v>350</v>
      </c>
      <c r="E296" s="16">
        <f t="shared" si="9"/>
        <v>87.5</v>
      </c>
      <c r="F296" s="9"/>
      <c r="G296" s="9"/>
      <c r="H296" s="9"/>
      <c r="I296" s="9"/>
      <c r="J296" s="9"/>
      <c r="K296" s="9"/>
      <c r="L296" s="9"/>
    </row>
    <row r="297" spans="1:12">
      <c r="A297" s="12" t="s">
        <v>368</v>
      </c>
      <c r="B297" s="11">
        <v>0.05</v>
      </c>
      <c r="C297" s="15" t="s">
        <v>34</v>
      </c>
      <c r="D297" s="14">
        <v>60</v>
      </c>
      <c r="E297" s="16">
        <f t="shared" si="9"/>
        <v>3</v>
      </c>
      <c r="F297" s="9"/>
      <c r="G297" s="9"/>
      <c r="H297" s="9"/>
      <c r="I297" s="9"/>
      <c r="J297" s="9"/>
      <c r="K297" s="9"/>
      <c r="L297" s="9"/>
    </row>
    <row r="298" spans="1:12">
      <c r="A298" s="47" t="s">
        <v>1139</v>
      </c>
      <c r="B298" s="11">
        <f>SUM(E291:E297)</f>
        <v>1084.1600000000001</v>
      </c>
      <c r="C298" s="15" t="s">
        <v>2</v>
      </c>
      <c r="D298" s="48">
        <v>0.01</v>
      </c>
      <c r="E298" s="16">
        <f t="shared" si="9"/>
        <v>10.84</v>
      </c>
      <c r="F298" s="9"/>
      <c r="G298" s="9"/>
      <c r="H298" s="9"/>
      <c r="I298" s="9"/>
      <c r="J298" s="9"/>
      <c r="K298" s="9"/>
      <c r="L298" s="9"/>
    </row>
    <row r="299" spans="1:12">
      <c r="A299" s="47" t="s">
        <v>7</v>
      </c>
      <c r="B299" s="11">
        <f>+B298</f>
        <v>1084.1600000000001</v>
      </c>
      <c r="C299" s="15" t="s">
        <v>2</v>
      </c>
      <c r="D299" s="48">
        <v>5.0000000000000001E-3</v>
      </c>
      <c r="E299" s="16">
        <f t="shared" si="9"/>
        <v>5.42</v>
      </c>
      <c r="F299" s="9"/>
      <c r="G299" s="9"/>
      <c r="H299" s="9"/>
      <c r="I299" s="9"/>
      <c r="J299" s="9"/>
      <c r="K299" s="9"/>
      <c r="L299" s="9"/>
    </row>
    <row r="300" spans="1:12" ht="15.75">
      <c r="A300" s="12"/>
      <c r="B300" s="11"/>
      <c r="C300" s="11"/>
      <c r="D300" s="18" t="s">
        <v>164</v>
      </c>
      <c r="E300" s="19">
        <f>SUM(E291:E299)</f>
        <v>1100.42</v>
      </c>
      <c r="F300" s="9"/>
      <c r="G300" s="9"/>
      <c r="H300" s="9"/>
      <c r="I300" s="9"/>
      <c r="J300" s="9"/>
      <c r="K300" s="9"/>
      <c r="L300" s="9"/>
    </row>
    <row r="301" spans="1:12" ht="15.75">
      <c r="A301" s="12"/>
      <c r="B301" s="11"/>
      <c r="C301" s="11"/>
      <c r="D301" s="18" t="s">
        <v>369</v>
      </c>
      <c r="E301" s="19">
        <f>ROUND(E300/25,2)</f>
        <v>44.02</v>
      </c>
      <c r="F301" s="9"/>
      <c r="G301" s="9"/>
      <c r="H301" s="9"/>
      <c r="I301" s="9"/>
      <c r="J301" s="9"/>
      <c r="K301" s="9"/>
      <c r="L301" s="9"/>
    </row>
    <row r="302" spans="1:12" hidden="1">
      <c r="A302" s="12"/>
      <c r="B302" s="11"/>
      <c r="C302" s="11"/>
      <c r="D302" s="11"/>
      <c r="E302" s="12"/>
      <c r="F302" s="9"/>
      <c r="G302" s="9"/>
      <c r="H302" s="9"/>
      <c r="I302" s="9"/>
      <c r="J302" s="9"/>
      <c r="K302" s="9"/>
      <c r="L302" s="9"/>
    </row>
    <row r="303" spans="1:12" ht="15.75" hidden="1">
      <c r="A303" s="13" t="s">
        <v>370</v>
      </c>
      <c r="B303" s="11"/>
      <c r="C303" s="11"/>
      <c r="D303" s="11"/>
      <c r="E303" s="12"/>
      <c r="F303" s="9"/>
      <c r="G303" s="9"/>
      <c r="H303" s="9"/>
      <c r="I303" s="9"/>
      <c r="J303" s="9"/>
      <c r="K303" s="9"/>
      <c r="L303" s="9"/>
    </row>
    <row r="304" spans="1:12" hidden="1">
      <c r="A304" s="12" t="s">
        <v>187</v>
      </c>
      <c r="B304" s="11"/>
      <c r="C304" s="11"/>
      <c r="D304" s="11"/>
      <c r="E304" s="12"/>
      <c r="F304" s="9"/>
      <c r="G304" s="9"/>
      <c r="H304" s="9"/>
      <c r="I304" s="9"/>
      <c r="J304" s="9"/>
      <c r="K304" s="9"/>
      <c r="L304" s="9"/>
    </row>
    <row r="305" spans="1:12" hidden="1">
      <c r="A305" s="12" t="s">
        <v>371</v>
      </c>
      <c r="B305" s="11">
        <v>8</v>
      </c>
      <c r="C305" s="11" t="s">
        <v>298</v>
      </c>
      <c r="D305" s="14">
        <v>43.75</v>
      </c>
      <c r="E305" s="16">
        <f>D305*B305</f>
        <v>350</v>
      </c>
      <c r="F305" s="9"/>
      <c r="G305" s="9"/>
      <c r="H305" s="9"/>
      <c r="I305" s="9"/>
      <c r="J305" s="9"/>
      <c r="K305" s="9"/>
      <c r="L305" s="9"/>
    </row>
    <row r="306" spans="1:12" hidden="1">
      <c r="A306" s="12" t="s">
        <v>372</v>
      </c>
      <c r="B306" s="11">
        <v>8</v>
      </c>
      <c r="C306" s="11" t="s">
        <v>298</v>
      </c>
      <c r="D306" s="14">
        <v>31.25</v>
      </c>
      <c r="E306" s="16">
        <f>D306*B306</f>
        <v>250</v>
      </c>
      <c r="F306" s="9"/>
      <c r="G306" s="9"/>
      <c r="H306" s="9"/>
      <c r="I306" s="9"/>
      <c r="J306" s="9"/>
      <c r="K306" s="9"/>
      <c r="L306" s="9"/>
    </row>
    <row r="307" spans="1:12" hidden="1">
      <c r="A307" s="12" t="s">
        <v>373</v>
      </c>
      <c r="B307" s="11">
        <v>8</v>
      </c>
      <c r="C307" s="11" t="s">
        <v>298</v>
      </c>
      <c r="D307" s="14">
        <v>20.329999999999998</v>
      </c>
      <c r="E307" s="16">
        <f>D307*B307</f>
        <v>162.63999999999999</v>
      </c>
      <c r="F307" s="9"/>
      <c r="G307" s="9"/>
      <c r="H307" s="9"/>
      <c r="I307" s="9"/>
      <c r="J307" s="9"/>
      <c r="K307" s="9"/>
      <c r="L307" s="9"/>
    </row>
    <row r="308" spans="1:12" hidden="1">
      <c r="A308" s="12" t="s">
        <v>299</v>
      </c>
      <c r="B308" s="11">
        <v>16</v>
      </c>
      <c r="C308" s="11" t="s">
        <v>298</v>
      </c>
      <c r="D308" s="14">
        <v>19.34</v>
      </c>
      <c r="E308" s="16">
        <f>D308*B308</f>
        <v>309.44</v>
      </c>
      <c r="F308" s="9"/>
      <c r="G308" s="9"/>
      <c r="H308" s="9"/>
      <c r="I308" s="9"/>
      <c r="J308" s="9"/>
      <c r="K308" s="9"/>
      <c r="L308" s="9"/>
    </row>
    <row r="309" spans="1:12" hidden="1">
      <c r="A309" s="12"/>
      <c r="B309" s="11"/>
      <c r="C309" s="11"/>
      <c r="D309" s="11"/>
      <c r="E309" s="49">
        <f>SUM(E305:E308)</f>
        <v>1072.08</v>
      </c>
      <c r="F309" s="9"/>
      <c r="G309" s="9"/>
      <c r="H309" s="9"/>
      <c r="I309" s="9"/>
      <c r="J309" s="9"/>
      <c r="K309" s="9"/>
      <c r="L309" s="9"/>
    </row>
    <row r="310" spans="1:12" hidden="1">
      <c r="A310" s="12"/>
      <c r="B310" s="11"/>
      <c r="C310" s="11"/>
      <c r="D310" s="11"/>
      <c r="E310" s="12"/>
      <c r="F310" s="9"/>
      <c r="G310" s="9"/>
      <c r="H310" s="9"/>
      <c r="I310" s="9"/>
      <c r="J310" s="9"/>
      <c r="K310" s="9"/>
      <c r="L310" s="9"/>
    </row>
    <row r="311" spans="1:12">
      <c r="B311" s="7"/>
      <c r="C311" s="7"/>
      <c r="D311" s="7"/>
      <c r="F311" s="9"/>
      <c r="G311" s="9"/>
      <c r="H311" s="9"/>
      <c r="I311" s="9"/>
      <c r="J311" s="9"/>
      <c r="K311" s="9"/>
      <c r="L311" s="9"/>
    </row>
    <row r="312" spans="1:12">
      <c r="F312" s="9"/>
      <c r="G312" s="9"/>
      <c r="H312" s="9"/>
      <c r="I312" s="9"/>
      <c r="J312" s="9"/>
      <c r="K312" s="9"/>
      <c r="L312" s="9"/>
    </row>
    <row r="313" spans="1:12">
      <c r="F313" s="9"/>
      <c r="G313" s="9"/>
      <c r="H313" s="9"/>
      <c r="I313" s="9"/>
      <c r="J313" s="9"/>
      <c r="K313" s="9"/>
      <c r="L313" s="9"/>
    </row>
    <row r="314" spans="1:12">
      <c r="A314" s="50"/>
      <c r="F314" s="9"/>
      <c r="G314" s="9"/>
      <c r="H314" s="9"/>
      <c r="I314" s="9"/>
      <c r="J314" s="9"/>
      <c r="K314" s="9"/>
      <c r="L314" s="9"/>
    </row>
    <row r="315" spans="1:12">
      <c r="A315" s="51" t="s">
        <v>19</v>
      </c>
      <c r="B315" s="52" t="s">
        <v>20</v>
      </c>
      <c r="C315" s="51" t="s">
        <v>143</v>
      </c>
      <c r="D315" s="52" t="s">
        <v>374</v>
      </c>
      <c r="E315" s="52" t="s">
        <v>192</v>
      </c>
      <c r="F315" s="9"/>
      <c r="G315" s="9"/>
      <c r="H315" s="9"/>
      <c r="I315" s="9"/>
      <c r="J315" s="9"/>
      <c r="K315" s="9"/>
      <c r="L315" s="9"/>
    </row>
    <row r="316" spans="1:12">
      <c r="A316" s="53"/>
      <c r="B316" s="54"/>
      <c r="C316" s="55"/>
      <c r="D316" s="54"/>
      <c r="E316" s="54"/>
      <c r="F316" s="9"/>
      <c r="G316" s="9"/>
      <c r="H316" s="9"/>
      <c r="I316" s="9"/>
      <c r="J316" s="9"/>
      <c r="K316" s="9"/>
      <c r="L316" s="9"/>
    </row>
    <row r="317" spans="1:12">
      <c r="A317" s="56" t="s">
        <v>375</v>
      </c>
      <c r="B317" s="54"/>
      <c r="C317" s="55"/>
      <c r="D317" s="54"/>
      <c r="E317" s="54"/>
      <c r="F317" s="9"/>
      <c r="G317" s="9"/>
      <c r="H317" s="9"/>
      <c r="I317" s="9"/>
      <c r="J317" s="9"/>
      <c r="K317" s="9"/>
      <c r="L317" s="9"/>
    </row>
    <row r="318" spans="1:12">
      <c r="A318" s="56"/>
      <c r="B318" s="54"/>
      <c r="C318" s="55"/>
      <c r="D318" s="54"/>
      <c r="E318" s="54"/>
      <c r="F318" s="9"/>
      <c r="G318" s="9"/>
      <c r="H318" s="9"/>
      <c r="I318" s="9"/>
      <c r="J318" s="9"/>
      <c r="K318" s="9"/>
      <c r="L318" s="9"/>
    </row>
    <row r="319" spans="1:12">
      <c r="A319" s="53" t="s">
        <v>376</v>
      </c>
      <c r="B319" s="54"/>
      <c r="C319" s="55"/>
      <c r="D319" s="54"/>
      <c r="E319" s="54"/>
      <c r="F319" s="9"/>
      <c r="G319" s="9"/>
      <c r="H319" s="9"/>
      <c r="I319" s="9"/>
      <c r="J319" s="9"/>
      <c r="K319" s="9"/>
      <c r="L319" s="9"/>
    </row>
    <row r="320" spans="1:12">
      <c r="A320" s="53"/>
      <c r="B320" s="54"/>
      <c r="C320" s="55"/>
      <c r="D320" s="54"/>
      <c r="E320" s="54"/>
      <c r="F320" s="9"/>
      <c r="G320" s="9"/>
      <c r="H320" s="9"/>
      <c r="I320" s="9"/>
      <c r="J320" s="9"/>
      <c r="K320" s="9"/>
      <c r="L320" s="9"/>
    </row>
    <row r="321" spans="1:12">
      <c r="A321" s="53" t="s">
        <v>377</v>
      </c>
      <c r="B321" s="54">
        <v>8</v>
      </c>
      <c r="C321" s="55" t="s">
        <v>378</v>
      </c>
      <c r="D321" s="54">
        <v>62.999999999999993</v>
      </c>
      <c r="E321" s="54">
        <f>D321*B321</f>
        <v>503.99999999999994</v>
      </c>
      <c r="F321" s="9"/>
      <c r="G321" s="9"/>
      <c r="H321" s="9"/>
      <c r="I321" s="9"/>
      <c r="J321" s="9"/>
      <c r="K321" s="9"/>
      <c r="L321" s="9"/>
    </row>
    <row r="322" spans="1:12">
      <c r="A322" s="53" t="s">
        <v>379</v>
      </c>
      <c r="B322" s="54">
        <v>8</v>
      </c>
      <c r="C322" s="55" t="s">
        <v>378</v>
      </c>
      <c r="D322" s="54">
        <v>111.82499999999999</v>
      </c>
      <c r="E322" s="54">
        <f t="shared" ref="E322:E328" si="10">D322*B322</f>
        <v>894.59999999999991</v>
      </c>
      <c r="F322" s="9"/>
      <c r="G322" s="9"/>
      <c r="H322" s="9"/>
      <c r="I322" s="9"/>
      <c r="J322" s="9"/>
      <c r="K322" s="9"/>
      <c r="L322" s="9"/>
    </row>
    <row r="323" spans="1:12">
      <c r="A323" s="53" t="s">
        <v>380</v>
      </c>
      <c r="B323" s="54">
        <v>8</v>
      </c>
      <c r="C323" s="55" t="s">
        <v>378</v>
      </c>
      <c r="D323" s="54">
        <v>24.961999999999996</v>
      </c>
      <c r="E323" s="54">
        <f t="shared" si="10"/>
        <v>199.69599999999997</v>
      </c>
      <c r="F323" s="9"/>
      <c r="G323" s="9"/>
      <c r="H323" s="9"/>
      <c r="I323" s="9"/>
      <c r="J323" s="9"/>
      <c r="K323" s="9"/>
      <c r="L323" s="9"/>
    </row>
    <row r="324" spans="1:12">
      <c r="A324" s="53" t="s">
        <v>381</v>
      </c>
      <c r="B324" s="54">
        <v>8</v>
      </c>
      <c r="C324" s="55" t="s">
        <v>378</v>
      </c>
      <c r="D324" s="54">
        <v>24.961999999999996</v>
      </c>
      <c r="E324" s="54">
        <f t="shared" si="10"/>
        <v>199.69599999999997</v>
      </c>
      <c r="F324" s="9"/>
      <c r="G324" s="9"/>
      <c r="H324" s="9"/>
      <c r="I324" s="9"/>
      <c r="J324" s="9"/>
      <c r="K324" s="9"/>
      <c r="L324" s="9"/>
    </row>
    <row r="325" spans="1:12">
      <c r="A325" s="53" t="s">
        <v>382</v>
      </c>
      <c r="B325" s="54">
        <v>8</v>
      </c>
      <c r="C325" s="55" t="s">
        <v>378</v>
      </c>
      <c r="D325" s="54">
        <v>27.146000000000001</v>
      </c>
      <c r="E325" s="54">
        <f t="shared" si="10"/>
        <v>217.16800000000001</v>
      </c>
      <c r="F325" s="9"/>
      <c r="G325" s="9"/>
      <c r="H325" s="9"/>
      <c r="I325" s="9"/>
      <c r="J325" s="9"/>
      <c r="K325" s="9"/>
      <c r="L325" s="9"/>
    </row>
    <row r="326" spans="1:12">
      <c r="A326" s="53" t="s">
        <v>383</v>
      </c>
      <c r="B326" s="54">
        <v>8</v>
      </c>
      <c r="C326" s="55" t="s">
        <v>378</v>
      </c>
      <c r="D326" s="54">
        <v>23.323999999999998</v>
      </c>
      <c r="E326" s="54">
        <f t="shared" si="10"/>
        <v>186.59199999999998</v>
      </c>
      <c r="F326" s="9"/>
      <c r="G326" s="9"/>
      <c r="H326" s="9"/>
      <c r="I326" s="9"/>
      <c r="J326" s="9"/>
      <c r="K326" s="9"/>
      <c r="L326" s="9"/>
    </row>
    <row r="327" spans="1:12">
      <c r="A327" s="53" t="s">
        <v>384</v>
      </c>
      <c r="B327" s="54">
        <v>8</v>
      </c>
      <c r="C327" s="55" t="s">
        <v>378</v>
      </c>
      <c r="D327" s="54">
        <v>8.26</v>
      </c>
      <c r="E327" s="54">
        <f t="shared" si="10"/>
        <v>66.08</v>
      </c>
      <c r="F327" s="9"/>
      <c r="G327" s="9"/>
      <c r="H327" s="9"/>
      <c r="I327" s="9"/>
      <c r="J327" s="9"/>
      <c r="K327" s="9"/>
      <c r="L327" s="9"/>
    </row>
    <row r="328" spans="1:12">
      <c r="A328" s="53" t="s">
        <v>385</v>
      </c>
      <c r="B328" s="54">
        <v>16</v>
      </c>
      <c r="C328" s="55" t="s">
        <v>378</v>
      </c>
      <c r="D328" s="54">
        <v>17.22</v>
      </c>
      <c r="E328" s="54">
        <f t="shared" si="10"/>
        <v>275.52</v>
      </c>
      <c r="F328" s="9"/>
      <c r="G328" s="9"/>
      <c r="H328" s="9"/>
      <c r="I328" s="9"/>
      <c r="J328" s="9"/>
      <c r="K328" s="9"/>
      <c r="L328" s="9"/>
    </row>
    <row r="329" spans="1:12" ht="15.75">
      <c r="A329" s="57"/>
      <c r="B329" s="54"/>
      <c r="C329" s="55"/>
      <c r="D329" s="54"/>
      <c r="E329" s="54"/>
      <c r="F329" s="9"/>
      <c r="G329" s="9"/>
      <c r="H329" s="9"/>
      <c r="I329" s="9"/>
      <c r="J329" s="9"/>
      <c r="K329" s="9"/>
      <c r="L329" s="9"/>
    </row>
    <row r="330" spans="1:12">
      <c r="A330" s="53"/>
      <c r="B330" s="54"/>
      <c r="C330" s="55"/>
      <c r="D330" s="54"/>
      <c r="E330" s="54"/>
      <c r="F330" s="9"/>
      <c r="G330" s="9"/>
      <c r="H330" s="9"/>
      <c r="I330" s="9"/>
      <c r="J330" s="9"/>
      <c r="K330" s="9"/>
      <c r="L330" s="9"/>
    </row>
    <row r="331" spans="1:12">
      <c r="A331" s="58" t="s">
        <v>386</v>
      </c>
      <c r="B331" s="54"/>
      <c r="C331" s="55"/>
      <c r="D331" s="54"/>
      <c r="E331" s="54">
        <f>SUM(E321:E328)</f>
        <v>2543.3519999999999</v>
      </c>
      <c r="F331" s="9"/>
      <c r="G331" s="9"/>
      <c r="H331" s="9"/>
      <c r="I331" s="9"/>
      <c r="J331" s="9"/>
      <c r="K331" s="9"/>
      <c r="L331" s="9"/>
    </row>
    <row r="332" spans="1:12">
      <c r="A332" s="58"/>
      <c r="B332" s="54"/>
      <c r="C332" s="55"/>
      <c r="D332" s="54"/>
      <c r="E332" s="54"/>
      <c r="F332" s="9"/>
      <c r="G332" s="9"/>
      <c r="H332" s="9"/>
      <c r="I332" s="9"/>
      <c r="J332" s="9"/>
      <c r="K332" s="9"/>
      <c r="L332" s="9"/>
    </row>
    <row r="333" spans="1:12">
      <c r="A333" s="58" t="s">
        <v>387</v>
      </c>
      <c r="B333" s="54"/>
      <c r="C333" s="59"/>
      <c r="D333" s="54"/>
      <c r="E333" s="54">
        <f>E331*23.83</f>
        <v>60608.07815999999</v>
      </c>
      <c r="F333" s="9"/>
      <c r="G333" s="9"/>
      <c r="H333" s="9"/>
      <c r="I333" s="9"/>
      <c r="J333" s="9"/>
      <c r="K333" s="9"/>
      <c r="L333" s="9"/>
    </row>
    <row r="334" spans="1:12">
      <c r="A334" s="53"/>
      <c r="B334" s="54"/>
      <c r="C334" s="55"/>
      <c r="D334" s="54"/>
      <c r="E334" s="54"/>
      <c r="F334" s="9"/>
      <c r="G334" s="9"/>
      <c r="H334" s="9"/>
      <c r="I334" s="9"/>
      <c r="J334" s="9"/>
      <c r="K334" s="9"/>
      <c r="L334" s="9"/>
    </row>
    <row r="335" spans="1:12" ht="15.75">
      <c r="A335" s="57" t="s">
        <v>388</v>
      </c>
      <c r="B335" s="60">
        <v>6</v>
      </c>
      <c r="C335" s="61" t="s">
        <v>389</v>
      </c>
      <c r="D335" s="60"/>
      <c r="E335" s="60">
        <f>E333*B335</f>
        <v>363648.46895999997</v>
      </c>
      <c r="F335" s="9"/>
      <c r="G335" s="9"/>
      <c r="H335" s="9"/>
      <c r="I335" s="9"/>
      <c r="J335" s="9"/>
      <c r="K335" s="9"/>
      <c r="L335" s="9"/>
    </row>
    <row r="336" spans="1:12">
      <c r="A336" s="53"/>
      <c r="B336" s="54"/>
      <c r="C336" s="55"/>
      <c r="D336" s="54"/>
      <c r="E336" s="54"/>
      <c r="F336" s="9"/>
      <c r="G336" s="9"/>
      <c r="H336" s="9"/>
      <c r="I336" s="9"/>
      <c r="J336" s="9"/>
      <c r="K336" s="9"/>
      <c r="L336" s="9"/>
    </row>
    <row r="337" spans="1:12" ht="15.75">
      <c r="A337" s="57" t="s">
        <v>390</v>
      </c>
      <c r="B337" s="54"/>
      <c r="C337" s="55"/>
      <c r="D337" s="54"/>
      <c r="E337" s="54"/>
      <c r="F337" s="9"/>
      <c r="G337" s="9"/>
      <c r="H337" s="9"/>
      <c r="I337" s="9"/>
      <c r="J337" s="9"/>
      <c r="K337" s="9"/>
      <c r="L337" s="9"/>
    </row>
    <row r="338" spans="1:12">
      <c r="A338" s="53"/>
      <c r="B338" s="54"/>
      <c r="C338" s="55"/>
      <c r="D338" s="54"/>
      <c r="E338" s="54"/>
      <c r="F338" s="9"/>
      <c r="G338" s="9"/>
      <c r="H338" s="9"/>
      <c r="I338" s="9"/>
      <c r="J338" s="9"/>
      <c r="K338" s="9"/>
      <c r="L338" s="9"/>
    </row>
    <row r="339" spans="1:12">
      <c r="A339" s="53" t="s">
        <v>377</v>
      </c>
      <c r="B339" s="54">
        <v>1264.75</v>
      </c>
      <c r="C339" s="55" t="s">
        <v>108</v>
      </c>
      <c r="D339" s="54">
        <v>0.54</v>
      </c>
      <c r="E339" s="54">
        <f t="shared" ref="E339:E344" si="11">D339*B339</f>
        <v>682.96500000000003</v>
      </c>
      <c r="F339" s="9"/>
      <c r="G339" s="9"/>
      <c r="H339" s="9"/>
      <c r="I339" s="9"/>
      <c r="J339" s="9"/>
      <c r="K339" s="9"/>
      <c r="L339" s="9"/>
    </row>
    <row r="340" spans="1:12">
      <c r="A340" s="53" t="s">
        <v>379</v>
      </c>
      <c r="B340" s="54">
        <f>B339</f>
        <v>1264.75</v>
      </c>
      <c r="C340" s="55" t="s">
        <v>108</v>
      </c>
      <c r="D340" s="54">
        <v>0.9</v>
      </c>
      <c r="E340" s="54">
        <f t="shared" si="11"/>
        <v>1138.2750000000001</v>
      </c>
      <c r="F340" s="9"/>
      <c r="G340" s="9"/>
      <c r="H340" s="9"/>
      <c r="I340" s="9"/>
      <c r="J340" s="9"/>
      <c r="K340" s="9"/>
      <c r="L340" s="9"/>
    </row>
    <row r="341" spans="1:12">
      <c r="A341" s="53" t="s">
        <v>383</v>
      </c>
      <c r="B341" s="54">
        <f>B340</f>
        <v>1264.75</v>
      </c>
      <c r="C341" s="55" t="s">
        <v>108</v>
      </c>
      <c r="D341" s="54">
        <v>1.8</v>
      </c>
      <c r="E341" s="54">
        <f t="shared" si="11"/>
        <v>2276.5500000000002</v>
      </c>
      <c r="F341" s="9"/>
      <c r="G341" s="9"/>
      <c r="H341" s="9"/>
      <c r="I341" s="9"/>
      <c r="J341" s="9"/>
      <c r="K341" s="9"/>
      <c r="L341" s="9"/>
    </row>
    <row r="342" spans="1:12">
      <c r="A342" s="53" t="s">
        <v>384</v>
      </c>
      <c r="B342" s="54">
        <f>B341</f>
        <v>1264.75</v>
      </c>
      <c r="C342" s="55" t="s">
        <v>108</v>
      </c>
      <c r="D342" s="54">
        <v>2</v>
      </c>
      <c r="E342" s="54">
        <f t="shared" si="11"/>
        <v>2529.5</v>
      </c>
      <c r="F342" s="9"/>
      <c r="G342" s="9"/>
      <c r="H342" s="9"/>
      <c r="I342" s="9"/>
      <c r="J342" s="9"/>
      <c r="K342" s="9"/>
      <c r="L342" s="9"/>
    </row>
    <row r="343" spans="1:12">
      <c r="A343" s="53" t="s">
        <v>385</v>
      </c>
      <c r="B343" s="54">
        <v>180</v>
      </c>
      <c r="C343" s="55" t="s">
        <v>391</v>
      </c>
      <c r="D343" s="54">
        <v>61.35</v>
      </c>
      <c r="E343" s="54">
        <f t="shared" si="11"/>
        <v>11043</v>
      </c>
      <c r="F343" s="9"/>
      <c r="G343" s="9"/>
      <c r="H343" s="9"/>
      <c r="I343" s="9"/>
      <c r="J343" s="9"/>
      <c r="K343" s="9"/>
      <c r="L343" s="9"/>
    </row>
    <row r="344" spans="1:12">
      <c r="A344" s="53" t="s">
        <v>382</v>
      </c>
      <c r="B344" s="54">
        <v>15</v>
      </c>
      <c r="C344" s="55" t="s">
        <v>392</v>
      </c>
      <c r="D344" s="54">
        <v>27</v>
      </c>
      <c r="E344" s="54">
        <f t="shared" si="11"/>
        <v>405</v>
      </c>
      <c r="F344" s="9"/>
      <c r="G344" s="9"/>
      <c r="H344" s="9"/>
      <c r="I344" s="9"/>
      <c r="J344" s="9"/>
      <c r="K344" s="9"/>
      <c r="L344" s="9"/>
    </row>
    <row r="345" spans="1:12">
      <c r="A345" s="53"/>
      <c r="B345" s="54"/>
      <c r="C345" s="55"/>
      <c r="D345" s="54"/>
      <c r="E345" s="54"/>
      <c r="F345" s="9"/>
      <c r="G345" s="9"/>
      <c r="H345" s="9"/>
      <c r="I345" s="9"/>
      <c r="J345" s="9"/>
      <c r="K345" s="9"/>
      <c r="L345" s="9"/>
    </row>
    <row r="346" spans="1:12">
      <c r="A346" s="53"/>
      <c r="B346" s="54"/>
      <c r="C346" s="55"/>
      <c r="D346" s="54"/>
      <c r="E346" s="54"/>
      <c r="F346" s="9"/>
      <c r="G346" s="9"/>
      <c r="H346" s="9"/>
      <c r="I346" s="9"/>
      <c r="J346" s="9"/>
      <c r="K346" s="9"/>
      <c r="L346" s="9"/>
    </row>
    <row r="347" spans="1:12" ht="15.75">
      <c r="A347" s="57" t="s">
        <v>393</v>
      </c>
      <c r="B347" s="54"/>
      <c r="C347" s="55"/>
      <c r="D347" s="54"/>
      <c r="E347" s="60">
        <f>SUM(E339:E346)</f>
        <v>18075.29</v>
      </c>
      <c r="F347" s="9"/>
      <c r="G347" s="9"/>
      <c r="H347" s="9"/>
      <c r="I347" s="9"/>
      <c r="J347" s="9"/>
      <c r="K347" s="9"/>
      <c r="L347" s="9"/>
    </row>
    <row r="348" spans="1:12">
      <c r="A348" s="53"/>
      <c r="B348" s="54"/>
      <c r="C348" s="55"/>
      <c r="D348" s="54"/>
      <c r="E348" s="54"/>
      <c r="F348" s="9"/>
      <c r="G348" s="9"/>
      <c r="H348" s="9"/>
      <c r="I348" s="9"/>
      <c r="J348" s="9"/>
      <c r="K348" s="9"/>
      <c r="L348" s="9"/>
    </row>
    <row r="349" spans="1:12" ht="15.75">
      <c r="A349" s="57" t="s">
        <v>394</v>
      </c>
      <c r="B349" s="54"/>
      <c r="C349" s="55"/>
      <c r="D349" s="54"/>
      <c r="E349" s="54"/>
      <c r="F349" s="9"/>
      <c r="G349" s="9"/>
      <c r="H349" s="9"/>
      <c r="I349" s="9"/>
      <c r="J349" s="9"/>
      <c r="K349" s="9"/>
      <c r="L349" s="9"/>
    </row>
    <row r="350" spans="1:12">
      <c r="A350" s="53"/>
      <c r="B350" s="54"/>
      <c r="C350" s="55"/>
      <c r="D350" s="54"/>
      <c r="E350" s="54"/>
      <c r="F350" s="9"/>
      <c r="G350" s="9"/>
      <c r="H350" s="9"/>
      <c r="I350" s="9"/>
      <c r="J350" s="9"/>
      <c r="K350" s="9"/>
      <c r="L350" s="9"/>
    </row>
    <row r="351" spans="1:12">
      <c r="A351" s="53" t="s">
        <v>395</v>
      </c>
      <c r="B351" s="54">
        <f>5*4*23.83*5</f>
        <v>2383</v>
      </c>
      <c r="C351" s="55" t="s">
        <v>396</v>
      </c>
      <c r="D351" s="54">
        <v>145</v>
      </c>
      <c r="E351" s="54">
        <f>D351*B351</f>
        <v>345535</v>
      </c>
      <c r="F351" s="9"/>
      <c r="G351" s="9"/>
      <c r="H351" s="9"/>
      <c r="I351" s="9"/>
      <c r="J351" s="9"/>
      <c r="K351" s="9"/>
      <c r="L351" s="9"/>
    </row>
    <row r="352" spans="1:12">
      <c r="A352" s="53" t="s">
        <v>397</v>
      </c>
      <c r="B352" s="54">
        <v>48</v>
      </c>
      <c r="C352" s="55" t="s">
        <v>396</v>
      </c>
      <c r="D352" s="54">
        <f>D351</f>
        <v>145</v>
      </c>
      <c r="E352" s="54">
        <f>D352*B352</f>
        <v>6960</v>
      </c>
      <c r="F352" s="9"/>
      <c r="G352" s="9"/>
      <c r="H352" s="9"/>
      <c r="I352" s="9"/>
      <c r="J352" s="9"/>
      <c r="K352" s="9"/>
      <c r="L352" s="9"/>
    </row>
    <row r="353" spans="1:12">
      <c r="A353" s="53" t="s">
        <v>398</v>
      </c>
      <c r="B353" s="54">
        <f>4*4*23.83*5</f>
        <v>1906.3999999999999</v>
      </c>
      <c r="C353" s="55" t="s">
        <v>396</v>
      </c>
      <c r="D353" s="54">
        <f>D352</f>
        <v>145</v>
      </c>
      <c r="E353" s="54">
        <f>D353*B353</f>
        <v>276428</v>
      </c>
      <c r="F353" s="9"/>
      <c r="G353" s="9"/>
      <c r="H353" s="9"/>
      <c r="I353" s="9"/>
      <c r="J353" s="9"/>
      <c r="K353" s="9"/>
      <c r="L353" s="9"/>
    </row>
    <row r="354" spans="1:12">
      <c r="A354" s="53" t="s">
        <v>111</v>
      </c>
      <c r="B354" s="54">
        <v>1</v>
      </c>
      <c r="C354" s="55" t="s">
        <v>2</v>
      </c>
      <c r="D354" s="62">
        <f>SUM(E351:E353)*0.2</f>
        <v>125784.6</v>
      </c>
      <c r="E354" s="54">
        <f>D354*B354</f>
        <v>125784.6</v>
      </c>
      <c r="F354" s="9"/>
      <c r="G354" s="9"/>
      <c r="H354" s="9"/>
      <c r="I354" s="9"/>
      <c r="J354" s="9"/>
      <c r="K354" s="9"/>
      <c r="L354" s="9"/>
    </row>
    <row r="355" spans="1:12">
      <c r="A355" s="53"/>
      <c r="B355" s="54"/>
      <c r="C355" s="55"/>
      <c r="D355" s="54"/>
      <c r="E355" s="54"/>
      <c r="F355" s="9"/>
      <c r="G355" s="9"/>
      <c r="H355" s="9"/>
      <c r="I355" s="9"/>
      <c r="J355" s="9"/>
      <c r="K355" s="9"/>
      <c r="L355" s="9"/>
    </row>
    <row r="356" spans="1:12" ht="15.75">
      <c r="A356" s="57" t="s">
        <v>399</v>
      </c>
      <c r="B356" s="54"/>
      <c r="C356" s="55"/>
      <c r="D356" s="54"/>
      <c r="E356" s="60">
        <f>SUM(E351:E355)</f>
        <v>754707.6</v>
      </c>
      <c r="F356" s="9"/>
      <c r="G356" s="9"/>
      <c r="H356" s="9"/>
      <c r="I356" s="9"/>
      <c r="J356" s="9"/>
      <c r="K356" s="9"/>
      <c r="L356" s="9"/>
    </row>
    <row r="357" spans="1:12">
      <c r="A357" s="53"/>
      <c r="B357" s="54"/>
      <c r="C357" s="55"/>
      <c r="D357" s="54"/>
      <c r="E357" s="54"/>
      <c r="F357" s="9"/>
      <c r="G357" s="9"/>
      <c r="H357" s="9"/>
      <c r="I357" s="9"/>
      <c r="J357" s="9"/>
      <c r="K357" s="9"/>
      <c r="L357" s="9"/>
    </row>
    <row r="358" spans="1:12">
      <c r="A358" s="53"/>
      <c r="B358" s="54"/>
      <c r="C358" s="55"/>
      <c r="D358" s="54"/>
      <c r="E358" s="54"/>
      <c r="F358" s="9"/>
      <c r="G358" s="9"/>
      <c r="H358" s="9"/>
      <c r="I358" s="9"/>
      <c r="J358" s="9"/>
      <c r="K358" s="9"/>
      <c r="L358" s="9"/>
    </row>
    <row r="359" spans="1:12">
      <c r="A359" s="53"/>
      <c r="B359" s="54"/>
      <c r="C359" s="55"/>
      <c r="D359" s="54"/>
      <c r="E359" s="54"/>
      <c r="F359" s="9"/>
      <c r="G359" s="9"/>
      <c r="H359" s="9"/>
      <c r="I359" s="9"/>
      <c r="J359" s="9"/>
      <c r="K359" s="9"/>
      <c r="L359" s="9"/>
    </row>
    <row r="360" spans="1:12" ht="15.75">
      <c r="A360" s="57" t="s">
        <v>400</v>
      </c>
      <c r="B360" s="60"/>
      <c r="C360" s="61"/>
      <c r="D360" s="60"/>
      <c r="E360" s="60">
        <f>E335+E347+E356</f>
        <v>1136431.3589599999</v>
      </c>
      <c r="F360" s="9"/>
      <c r="G360" s="9"/>
      <c r="H360" s="9"/>
      <c r="I360" s="9"/>
      <c r="J360" s="9"/>
      <c r="K360" s="9"/>
      <c r="L360" s="9"/>
    </row>
    <row r="361" spans="1:12">
      <c r="A361" s="53"/>
      <c r="B361" s="54"/>
      <c r="C361" s="55"/>
      <c r="D361" s="54"/>
      <c r="E361" s="54"/>
      <c r="F361" s="9"/>
      <c r="G361" s="9"/>
      <c r="H361" s="9"/>
      <c r="I361" s="9"/>
      <c r="J361" s="9"/>
      <c r="K361" s="9"/>
      <c r="L361" s="9"/>
    </row>
    <row r="362" spans="1:12">
      <c r="A362" s="53"/>
      <c r="B362" s="54"/>
      <c r="C362" s="55"/>
      <c r="D362" s="54"/>
      <c r="E362" s="54"/>
      <c r="F362" s="9"/>
      <c r="G362" s="9"/>
      <c r="H362" s="9"/>
      <c r="I362" s="9"/>
      <c r="J362" s="9"/>
      <c r="K362" s="9"/>
      <c r="L362" s="9"/>
    </row>
    <row r="363" spans="1:12">
      <c r="A363" s="53" t="s">
        <v>401</v>
      </c>
      <c r="B363" s="54"/>
      <c r="C363" s="55"/>
      <c r="D363" s="54"/>
      <c r="E363" s="54">
        <v>1264.75</v>
      </c>
      <c r="F363" s="9"/>
      <c r="G363" s="9"/>
      <c r="H363" s="9"/>
      <c r="I363" s="9"/>
      <c r="J363" s="9"/>
      <c r="K363" s="9"/>
      <c r="L363" s="9"/>
    </row>
    <row r="364" spans="1:12">
      <c r="A364" s="53"/>
      <c r="B364" s="54"/>
      <c r="C364" s="55"/>
      <c r="D364" s="54"/>
      <c r="E364" s="54"/>
      <c r="F364" s="9"/>
      <c r="G364" s="9"/>
      <c r="H364" s="9"/>
      <c r="I364" s="9"/>
      <c r="J364" s="9"/>
      <c r="K364" s="9"/>
      <c r="L364" s="9"/>
    </row>
    <row r="365" spans="1:12">
      <c r="A365" s="63"/>
      <c r="B365" s="64"/>
      <c r="C365" s="65"/>
      <c r="D365" s="64"/>
      <c r="E365" s="64"/>
      <c r="F365" s="9"/>
      <c r="G365" s="9"/>
      <c r="H365" s="9"/>
      <c r="I365" s="9"/>
      <c r="J365" s="9"/>
      <c r="K365" s="9"/>
      <c r="L365" s="9"/>
    </row>
    <row r="366" spans="1:12" ht="18" customHeight="1">
      <c r="A366" s="66" t="s">
        <v>402</v>
      </c>
      <c r="B366" s="64"/>
      <c r="C366" s="65"/>
      <c r="D366" s="64"/>
      <c r="E366" s="67">
        <f>E360/E363</f>
        <v>898.5422881676219</v>
      </c>
      <c r="F366" s="9"/>
      <c r="G366" s="9"/>
      <c r="H366" s="9"/>
      <c r="I366" s="9"/>
      <c r="J366" s="9"/>
      <c r="K366" s="9"/>
      <c r="L366" s="9"/>
    </row>
    <row r="367" spans="1:12">
      <c r="A367" s="12"/>
      <c r="B367" s="14"/>
      <c r="C367" s="15"/>
      <c r="D367" s="14"/>
      <c r="F367" s="9"/>
      <c r="G367" s="9"/>
      <c r="H367" s="9"/>
      <c r="I367" s="9"/>
      <c r="J367" s="9"/>
      <c r="K367" s="9"/>
      <c r="L367" s="9"/>
    </row>
    <row r="368" spans="1:12">
      <c r="F368" s="9"/>
      <c r="G368" s="9"/>
      <c r="H368" s="9"/>
      <c r="I368" s="9"/>
      <c r="J368" s="9"/>
      <c r="K368" s="9"/>
      <c r="L368" s="9"/>
    </row>
    <row r="369" spans="1:12">
      <c r="A369" s="12"/>
      <c r="B369" s="14"/>
      <c r="C369" s="15"/>
      <c r="D369" s="14"/>
      <c r="F369" s="9"/>
      <c r="G369" s="9"/>
      <c r="H369" s="9"/>
      <c r="I369" s="9"/>
      <c r="J369" s="9"/>
      <c r="K369" s="9"/>
      <c r="L369" s="9"/>
    </row>
    <row r="370" spans="1:12">
      <c r="A370" s="12"/>
      <c r="B370" s="14"/>
      <c r="C370" s="15"/>
      <c r="D370" s="14"/>
      <c r="F370" s="9"/>
      <c r="G370" s="9"/>
      <c r="H370" s="9"/>
      <c r="I370" s="9"/>
      <c r="J370" s="9"/>
      <c r="K370" s="9"/>
      <c r="L370" s="9"/>
    </row>
    <row r="371" spans="1:12">
      <c r="A371" s="12"/>
      <c r="B371" s="14"/>
      <c r="C371" s="15"/>
      <c r="D371" s="14"/>
      <c r="F371" s="9"/>
      <c r="G371" s="9"/>
      <c r="H371" s="9"/>
      <c r="I371" s="9"/>
      <c r="J371" s="9"/>
      <c r="K371" s="9"/>
      <c r="L371" s="9"/>
    </row>
    <row r="372" spans="1:12">
      <c r="A372" s="12"/>
      <c r="B372" s="14"/>
      <c r="C372" s="15"/>
      <c r="D372" s="14"/>
      <c r="F372" s="9"/>
      <c r="G372" s="9"/>
      <c r="H372" s="9"/>
      <c r="I372" s="9"/>
      <c r="J372" s="9"/>
      <c r="K372" s="9"/>
      <c r="L372" s="9"/>
    </row>
    <row r="373" spans="1:12">
      <c r="A373" s="12"/>
      <c r="B373" s="14"/>
      <c r="C373" s="15"/>
      <c r="D373" s="14"/>
      <c r="F373" s="9"/>
      <c r="G373" s="9"/>
      <c r="H373" s="9"/>
      <c r="I373" s="9"/>
      <c r="J373" s="9"/>
      <c r="K373" s="9"/>
      <c r="L373" s="9"/>
    </row>
    <row r="374" spans="1:12">
      <c r="A374" s="12"/>
      <c r="B374" s="14"/>
      <c r="C374" s="15"/>
      <c r="D374" s="14"/>
      <c r="F374" s="9"/>
      <c r="G374" s="9"/>
      <c r="H374" s="9"/>
      <c r="I374" s="9"/>
      <c r="J374" s="9"/>
      <c r="K374" s="9"/>
      <c r="L374" s="9"/>
    </row>
    <row r="375" spans="1:12">
      <c r="A375" s="12"/>
      <c r="B375" s="14"/>
      <c r="C375" s="15"/>
      <c r="D375" s="14"/>
      <c r="F375" s="9"/>
      <c r="G375" s="9"/>
      <c r="H375" s="9"/>
      <c r="I375" s="9"/>
      <c r="J375" s="9"/>
      <c r="K375" s="9"/>
      <c r="L375" s="9"/>
    </row>
    <row r="376" spans="1:12">
      <c r="F376" s="9"/>
      <c r="G376" s="9"/>
      <c r="H376" s="9"/>
      <c r="I376" s="9"/>
      <c r="J376" s="9"/>
      <c r="K376" s="9"/>
      <c r="L376" s="9"/>
    </row>
    <row r="377" spans="1:12">
      <c r="B377" s="64"/>
      <c r="C377" s="68"/>
      <c r="D377" s="14"/>
      <c r="F377" s="9"/>
      <c r="G377" s="9"/>
      <c r="H377" s="9"/>
      <c r="I377" s="9"/>
      <c r="J377" s="9"/>
      <c r="K377" s="9"/>
      <c r="L377" s="9"/>
    </row>
    <row r="378" spans="1:12">
      <c r="D378" s="11"/>
      <c r="F378" s="9"/>
      <c r="G378" s="9"/>
      <c r="H378" s="9"/>
      <c r="I378" s="9"/>
      <c r="J378" s="9"/>
      <c r="K378" s="9"/>
      <c r="L378" s="9"/>
    </row>
    <row r="379" spans="1:12">
      <c r="B379" s="64"/>
      <c r="C379" s="68"/>
      <c r="D379" s="14"/>
      <c r="F379" s="9"/>
      <c r="G379" s="9"/>
      <c r="H379" s="9"/>
      <c r="I379" s="9"/>
      <c r="J379" s="9"/>
      <c r="K379" s="9"/>
      <c r="L379" s="9"/>
    </row>
    <row r="380" spans="1:12">
      <c r="B380" s="64"/>
      <c r="C380" s="68"/>
      <c r="D380" s="14"/>
      <c r="F380" s="9"/>
      <c r="G380" s="9"/>
      <c r="H380" s="9"/>
      <c r="I380" s="9"/>
      <c r="J380" s="9"/>
      <c r="K380" s="9"/>
      <c r="L380" s="9"/>
    </row>
    <row r="381" spans="1:12">
      <c r="D381" s="11"/>
      <c r="F381" s="9"/>
      <c r="G381" s="9"/>
      <c r="H381" s="9"/>
      <c r="I381" s="9"/>
      <c r="J381" s="9"/>
      <c r="K381" s="9"/>
      <c r="L381" s="9"/>
    </row>
    <row r="382" spans="1:12">
      <c r="A382" s="12"/>
      <c r="B382" s="14"/>
      <c r="C382" s="15"/>
      <c r="D382" s="14"/>
      <c r="F382" s="9"/>
      <c r="G382" s="9"/>
      <c r="H382" s="9"/>
      <c r="I382" s="9"/>
      <c r="J382" s="9"/>
      <c r="K382" s="9"/>
      <c r="L382" s="9"/>
    </row>
    <row r="383" spans="1:12">
      <c r="A383" s="12"/>
      <c r="B383" s="14"/>
      <c r="C383" s="15"/>
      <c r="D383" s="14"/>
      <c r="F383" s="9"/>
      <c r="G383" s="9"/>
      <c r="H383" s="9"/>
      <c r="I383" s="9"/>
      <c r="J383" s="9"/>
      <c r="K383" s="9"/>
      <c r="L383" s="9"/>
    </row>
    <row r="384" spans="1:12">
      <c r="A384" s="12"/>
      <c r="B384" s="11"/>
      <c r="C384" s="11"/>
      <c r="D384" s="11"/>
      <c r="F384" s="9"/>
      <c r="G384" s="9"/>
      <c r="H384" s="9"/>
      <c r="I384" s="9"/>
      <c r="J384" s="9"/>
      <c r="K384" s="9"/>
      <c r="L384" s="9"/>
    </row>
    <row r="385" spans="1:12">
      <c r="A385" s="12"/>
      <c r="B385" s="14"/>
      <c r="C385" s="15"/>
      <c r="D385" s="14"/>
      <c r="F385" s="9"/>
      <c r="G385" s="9"/>
      <c r="H385" s="9"/>
      <c r="I385" s="9"/>
      <c r="J385" s="9"/>
      <c r="K385" s="9"/>
      <c r="L385" s="9"/>
    </row>
    <row r="386" spans="1:12">
      <c r="A386" s="12"/>
      <c r="B386" s="11"/>
      <c r="C386" s="11"/>
      <c r="D386" s="11"/>
      <c r="F386" s="9"/>
      <c r="G386" s="9"/>
      <c r="H386" s="9"/>
      <c r="I386" s="9"/>
      <c r="J386" s="9"/>
      <c r="K386" s="9"/>
      <c r="L386" s="9"/>
    </row>
    <row r="387" spans="1:12">
      <c r="A387" s="12"/>
      <c r="B387" s="14"/>
      <c r="C387" s="15"/>
      <c r="D387" s="14"/>
      <c r="F387" s="9"/>
      <c r="G387" s="9"/>
      <c r="H387" s="9"/>
      <c r="I387" s="9"/>
      <c r="J387" s="9"/>
      <c r="K387" s="9"/>
      <c r="L387" s="9"/>
    </row>
    <row r="388" spans="1:12">
      <c r="A388" s="12"/>
      <c r="B388" s="11"/>
      <c r="C388" s="11"/>
      <c r="D388" s="11"/>
      <c r="F388" s="9"/>
      <c r="G388" s="9"/>
      <c r="H388" s="9"/>
      <c r="I388" s="9"/>
      <c r="J388" s="9"/>
      <c r="K388" s="9"/>
      <c r="L388" s="9"/>
    </row>
    <row r="389" spans="1:12">
      <c r="A389" s="12"/>
      <c r="B389" s="14"/>
      <c r="C389" s="15"/>
      <c r="D389" s="14"/>
      <c r="F389" s="9"/>
      <c r="G389" s="9"/>
      <c r="H389" s="9"/>
      <c r="I389" s="9"/>
      <c r="J389" s="9"/>
      <c r="K389" s="9"/>
      <c r="L389" s="9"/>
    </row>
    <row r="390" spans="1:12">
      <c r="A390" s="12"/>
      <c r="B390" s="14"/>
      <c r="C390" s="15"/>
      <c r="D390" s="14"/>
      <c r="F390" s="9"/>
      <c r="G390" s="9"/>
      <c r="H390" s="9"/>
      <c r="I390" s="9"/>
      <c r="J390" s="9"/>
      <c r="K390" s="9"/>
      <c r="L390" s="9"/>
    </row>
    <row r="391" spans="1:12">
      <c r="A391" s="12"/>
      <c r="B391" s="14"/>
      <c r="C391" s="15"/>
      <c r="D391" s="14"/>
      <c r="F391" s="9"/>
      <c r="G391" s="9"/>
      <c r="H391" s="9"/>
      <c r="I391" s="9"/>
      <c r="J391" s="9"/>
      <c r="K391" s="9"/>
      <c r="L391" s="9"/>
    </row>
    <row r="392" spans="1:12">
      <c r="A392" s="12"/>
      <c r="B392" s="11"/>
      <c r="C392" s="11"/>
      <c r="D392" s="11"/>
      <c r="E392" s="12"/>
      <c r="F392" s="9"/>
      <c r="G392" s="9"/>
      <c r="H392" s="9"/>
      <c r="I392" s="9"/>
      <c r="J392" s="9"/>
      <c r="K392" s="9"/>
      <c r="L392" s="9"/>
    </row>
    <row r="393" spans="1:12">
      <c r="A393" s="12"/>
      <c r="B393" s="14"/>
      <c r="C393" s="15"/>
      <c r="D393" s="14"/>
      <c r="E393" s="12"/>
      <c r="F393" s="9"/>
      <c r="G393" s="9"/>
      <c r="H393" s="9"/>
      <c r="I393" s="9"/>
      <c r="J393" s="9"/>
      <c r="K393" s="9"/>
      <c r="L393" s="9"/>
    </row>
    <row r="394" spans="1:12">
      <c r="A394" s="12"/>
      <c r="B394" s="14"/>
      <c r="C394" s="15"/>
      <c r="D394" s="14"/>
      <c r="E394" s="12"/>
      <c r="F394" s="9"/>
      <c r="G394" s="9"/>
      <c r="H394" s="9"/>
      <c r="I394" s="9"/>
      <c r="J394" s="9"/>
      <c r="K394" s="9"/>
      <c r="L394" s="9"/>
    </row>
    <row r="395" spans="1:12">
      <c r="A395" s="12"/>
      <c r="B395" s="11"/>
      <c r="C395" s="11"/>
      <c r="D395" s="11"/>
      <c r="E395" s="12"/>
      <c r="F395" s="9"/>
      <c r="G395" s="9"/>
      <c r="H395" s="9"/>
      <c r="I395" s="9"/>
      <c r="J395" s="9"/>
      <c r="K395" s="9"/>
      <c r="L395" s="9"/>
    </row>
    <row r="396" spans="1:12">
      <c r="A396" s="12"/>
      <c r="B396" s="14"/>
      <c r="C396" s="15"/>
      <c r="D396" s="14"/>
      <c r="E396" s="12"/>
      <c r="F396" s="9"/>
      <c r="G396" s="9"/>
      <c r="H396" s="9"/>
      <c r="I396" s="9"/>
      <c r="J396" s="9"/>
      <c r="K396" s="9"/>
      <c r="L396" s="9"/>
    </row>
    <row r="397" spans="1:12">
      <c r="A397" s="12"/>
      <c r="B397" s="14"/>
      <c r="C397" s="15"/>
      <c r="D397" s="14"/>
      <c r="E397" s="12"/>
      <c r="F397" s="9"/>
      <c r="G397" s="9"/>
      <c r="H397" s="9"/>
      <c r="I397" s="9"/>
      <c r="J397" s="9"/>
      <c r="K397" s="9"/>
      <c r="L397" s="9"/>
    </row>
    <row r="398" spans="1:12">
      <c r="A398" s="12"/>
      <c r="B398" s="11"/>
      <c r="C398" s="11"/>
      <c r="D398" s="11"/>
      <c r="E398" s="12"/>
      <c r="F398" s="9"/>
      <c r="G398" s="9"/>
      <c r="H398" s="9"/>
      <c r="I398" s="9"/>
      <c r="J398" s="9"/>
      <c r="K398" s="9"/>
      <c r="L398" s="9"/>
    </row>
    <row r="399" spans="1:12">
      <c r="A399" s="12"/>
      <c r="B399" s="14"/>
      <c r="C399" s="15"/>
      <c r="D399" s="14"/>
      <c r="E399" s="12"/>
      <c r="F399" s="9"/>
      <c r="G399" s="9"/>
      <c r="H399" s="9"/>
      <c r="I399" s="9"/>
      <c r="J399" s="9"/>
      <c r="K399" s="9"/>
      <c r="L399" s="9"/>
    </row>
    <row r="400" spans="1:12">
      <c r="A400" s="12"/>
      <c r="B400" s="14"/>
      <c r="C400" s="15"/>
      <c r="D400" s="14"/>
      <c r="E400" s="12"/>
      <c r="F400" s="9"/>
      <c r="G400" s="9"/>
      <c r="H400" s="9"/>
      <c r="I400" s="9"/>
      <c r="J400" s="9"/>
      <c r="K400" s="9"/>
      <c r="L400" s="9"/>
    </row>
    <row r="401" spans="1:12">
      <c r="A401" s="12"/>
      <c r="B401" s="14"/>
      <c r="C401" s="15"/>
      <c r="D401" s="14"/>
      <c r="E401" s="12"/>
      <c r="F401" s="9"/>
      <c r="G401" s="9"/>
      <c r="H401" s="9"/>
      <c r="I401" s="9"/>
      <c r="J401" s="9"/>
      <c r="K401" s="9"/>
      <c r="L401" s="9"/>
    </row>
    <row r="402" spans="1:12">
      <c r="A402" s="12"/>
      <c r="B402" s="14"/>
      <c r="C402" s="15"/>
      <c r="D402" s="14"/>
      <c r="E402" s="12"/>
      <c r="F402" s="9"/>
      <c r="G402" s="9"/>
      <c r="H402" s="9"/>
      <c r="I402" s="9"/>
      <c r="J402" s="9"/>
      <c r="K402" s="9"/>
      <c r="L402" s="9"/>
    </row>
    <row r="403" spans="1:12">
      <c r="A403" s="12"/>
      <c r="B403" s="11"/>
      <c r="C403" s="11"/>
      <c r="D403" s="11"/>
      <c r="E403" s="12"/>
      <c r="F403" s="9"/>
      <c r="G403" s="9"/>
      <c r="H403" s="9"/>
      <c r="I403" s="9"/>
      <c r="J403" s="9"/>
      <c r="K403" s="9"/>
      <c r="L403" s="9"/>
    </row>
    <row r="404" spans="1:12" ht="15.75">
      <c r="A404" s="13"/>
      <c r="B404" s="11"/>
      <c r="C404" s="15"/>
      <c r="D404" s="11"/>
      <c r="E404" s="12"/>
      <c r="F404" s="9"/>
      <c r="G404" s="9"/>
      <c r="H404" s="9"/>
      <c r="I404" s="9"/>
      <c r="J404" s="9"/>
      <c r="K404" s="9"/>
      <c r="L404" s="9"/>
    </row>
    <row r="405" spans="1:12">
      <c r="A405" s="12"/>
      <c r="B405" s="11"/>
      <c r="C405" s="15"/>
      <c r="D405" s="11"/>
      <c r="E405" s="12"/>
      <c r="F405" s="9"/>
      <c r="G405" s="9"/>
      <c r="H405" s="9"/>
      <c r="I405" s="9"/>
      <c r="J405" s="9"/>
      <c r="K405" s="9"/>
      <c r="L405" s="9"/>
    </row>
    <row r="406" spans="1:12">
      <c r="A406" s="12"/>
      <c r="B406" s="14"/>
      <c r="C406" s="15"/>
      <c r="D406" s="14"/>
      <c r="E406" s="16"/>
      <c r="F406" s="9"/>
      <c r="G406" s="9"/>
      <c r="H406" s="9"/>
      <c r="I406" s="9"/>
      <c r="J406" s="9"/>
      <c r="K406" s="9"/>
      <c r="L406" s="9"/>
    </row>
    <row r="407" spans="1:12">
      <c r="A407" s="12"/>
      <c r="B407" s="14"/>
      <c r="C407" s="15"/>
      <c r="D407" s="41"/>
      <c r="E407" s="16"/>
      <c r="F407" s="9"/>
      <c r="G407" s="9"/>
      <c r="H407" s="9"/>
      <c r="I407" s="9"/>
      <c r="J407" s="9"/>
      <c r="K407" s="9"/>
      <c r="L407" s="9"/>
    </row>
    <row r="408" spans="1:12">
      <c r="A408" s="12"/>
      <c r="B408" s="14"/>
      <c r="C408" s="15"/>
      <c r="D408" s="14"/>
      <c r="E408" s="16"/>
      <c r="F408" s="9"/>
      <c r="G408" s="9"/>
      <c r="H408" s="9"/>
      <c r="I408" s="9"/>
      <c r="J408" s="9"/>
      <c r="K408" s="9"/>
      <c r="L408" s="9"/>
    </row>
    <row r="409" spans="1:12" ht="15.75">
      <c r="A409" s="12"/>
      <c r="B409" s="11"/>
      <c r="C409" s="15"/>
      <c r="D409" s="18"/>
      <c r="E409" s="19"/>
      <c r="F409" s="9"/>
      <c r="G409" s="9"/>
      <c r="H409" s="9"/>
      <c r="I409" s="9"/>
      <c r="J409" s="9"/>
      <c r="K409" s="9"/>
      <c r="L409" s="9"/>
    </row>
    <row r="410" spans="1:12">
      <c r="A410" s="12"/>
      <c r="B410" s="11"/>
      <c r="C410" s="11"/>
      <c r="D410" s="11"/>
      <c r="E410" s="12"/>
      <c r="F410" s="9"/>
      <c r="G410" s="9"/>
      <c r="H410" s="9"/>
      <c r="I410" s="9"/>
      <c r="J410" s="9"/>
      <c r="K410" s="9"/>
      <c r="L410" s="9"/>
    </row>
    <row r="411" spans="1:12" ht="15.75">
      <c r="A411" s="13"/>
      <c r="B411" s="11"/>
      <c r="C411" s="15"/>
      <c r="D411" s="11"/>
      <c r="E411" s="12"/>
      <c r="F411" s="9"/>
      <c r="G411" s="9"/>
      <c r="H411" s="9"/>
      <c r="I411" s="9"/>
      <c r="J411" s="9"/>
      <c r="K411" s="9"/>
      <c r="L411" s="9"/>
    </row>
    <row r="412" spans="1:12">
      <c r="A412" s="12"/>
      <c r="B412" s="14"/>
      <c r="C412" s="15"/>
      <c r="D412" s="14"/>
      <c r="E412" s="16"/>
      <c r="F412" s="9"/>
      <c r="G412" s="9"/>
      <c r="H412" s="9"/>
      <c r="I412" s="9"/>
      <c r="J412" s="9"/>
      <c r="K412" s="9"/>
      <c r="L412" s="9"/>
    </row>
    <row r="413" spans="1:12">
      <c r="A413" s="12"/>
      <c r="B413" s="14"/>
      <c r="C413" s="15"/>
      <c r="D413" s="41"/>
      <c r="E413" s="16"/>
      <c r="F413" s="9"/>
      <c r="G413" s="9"/>
      <c r="H413" s="9"/>
      <c r="I413" s="9"/>
      <c r="J413" s="9"/>
      <c r="K413" s="9"/>
      <c r="L413" s="9"/>
    </row>
    <row r="414" spans="1:12">
      <c r="A414" s="12"/>
      <c r="B414" s="14"/>
      <c r="C414" s="15"/>
      <c r="D414" s="14"/>
      <c r="E414" s="16"/>
      <c r="F414" s="9"/>
      <c r="G414" s="9"/>
      <c r="H414" s="9"/>
      <c r="I414" s="9"/>
      <c r="J414" s="9"/>
      <c r="K414" s="9"/>
      <c r="L414" s="9"/>
    </row>
    <row r="415" spans="1:12" ht="15.75">
      <c r="A415" s="12"/>
      <c r="B415" s="11"/>
      <c r="C415" s="15"/>
      <c r="D415" s="18"/>
      <c r="E415" s="19"/>
      <c r="F415" s="9"/>
      <c r="G415" s="9"/>
      <c r="H415" s="9"/>
      <c r="I415" s="9"/>
      <c r="J415" s="9"/>
      <c r="K415" s="9"/>
      <c r="L415" s="9"/>
    </row>
    <row r="416" spans="1:12">
      <c r="A416" s="12"/>
      <c r="B416" s="11"/>
      <c r="C416" s="11"/>
      <c r="D416" s="11"/>
      <c r="E416" s="12"/>
      <c r="F416" s="9"/>
      <c r="G416" s="9"/>
      <c r="H416" s="9"/>
      <c r="I416" s="9"/>
      <c r="J416" s="9"/>
      <c r="K416" s="9"/>
      <c r="L416" s="9"/>
    </row>
    <row r="417" spans="1:12">
      <c r="A417" s="12"/>
      <c r="B417" s="11"/>
      <c r="C417" s="11"/>
      <c r="D417" s="11"/>
      <c r="E417" s="12"/>
      <c r="F417" s="9"/>
      <c r="G417" s="9"/>
      <c r="H417" s="9"/>
      <c r="I417" s="9"/>
      <c r="J417" s="9"/>
      <c r="K417" s="9"/>
      <c r="L417" s="9"/>
    </row>
    <row r="418" spans="1:12" ht="15.75">
      <c r="A418" s="13"/>
      <c r="B418" s="11"/>
      <c r="C418" s="15"/>
      <c r="D418" s="11"/>
      <c r="E418" s="12"/>
      <c r="F418" s="9"/>
      <c r="G418" s="9"/>
      <c r="H418" s="9"/>
      <c r="I418" s="9"/>
      <c r="J418" s="9"/>
      <c r="K418" s="9"/>
      <c r="L418" s="9"/>
    </row>
    <row r="419" spans="1:12">
      <c r="A419" s="12"/>
      <c r="B419" s="14"/>
      <c r="C419" s="15"/>
      <c r="D419" s="14"/>
      <c r="E419" s="16"/>
      <c r="F419" s="9"/>
      <c r="G419" s="9"/>
      <c r="H419" s="9"/>
      <c r="I419" s="9"/>
      <c r="J419" s="9"/>
      <c r="K419" s="9"/>
      <c r="L419" s="9"/>
    </row>
    <row r="420" spans="1:12">
      <c r="A420" s="12"/>
      <c r="B420" s="14"/>
      <c r="C420" s="15"/>
      <c r="D420" s="41"/>
      <c r="E420" s="16"/>
      <c r="F420" s="9"/>
      <c r="G420" s="9"/>
      <c r="H420" s="9"/>
      <c r="I420" s="9"/>
      <c r="J420" s="9"/>
      <c r="K420" s="9"/>
      <c r="L420" s="9"/>
    </row>
    <row r="421" spans="1:12">
      <c r="A421" s="12"/>
      <c r="B421" s="14"/>
      <c r="C421" s="15"/>
      <c r="D421" s="14"/>
      <c r="E421" s="16"/>
      <c r="F421" s="9"/>
      <c r="G421" s="9"/>
      <c r="H421" s="9"/>
      <c r="I421" s="9"/>
      <c r="J421" s="9"/>
      <c r="K421" s="9"/>
      <c r="L421" s="9"/>
    </row>
    <row r="422" spans="1:12" ht="15.75">
      <c r="A422" s="12"/>
      <c r="B422" s="11"/>
      <c r="C422" s="11"/>
      <c r="D422" s="18"/>
      <c r="E422" s="19"/>
      <c r="F422" s="9"/>
      <c r="G422" s="9"/>
      <c r="H422" s="9"/>
      <c r="I422" s="9"/>
      <c r="J422" s="9"/>
      <c r="K422" s="9"/>
      <c r="L422" s="9"/>
    </row>
    <row r="423" spans="1:12" ht="15.75">
      <c r="A423" s="13"/>
      <c r="B423" s="11"/>
      <c r="C423" s="15"/>
      <c r="D423" s="11"/>
      <c r="E423" s="12"/>
      <c r="F423" s="9"/>
      <c r="G423" s="9"/>
      <c r="H423" s="9"/>
      <c r="I423" s="9"/>
      <c r="J423" s="9"/>
      <c r="K423" s="9"/>
      <c r="L423" s="9"/>
    </row>
    <row r="424" spans="1:12">
      <c r="A424" s="12"/>
      <c r="B424" s="14"/>
      <c r="C424" s="15"/>
      <c r="D424" s="14"/>
      <c r="E424" s="16"/>
      <c r="F424" s="9"/>
      <c r="G424" s="9"/>
      <c r="H424" s="9"/>
      <c r="I424" s="9"/>
      <c r="J424" s="9"/>
      <c r="K424" s="9"/>
      <c r="L424" s="9"/>
    </row>
    <row r="425" spans="1:12">
      <c r="A425" s="12"/>
      <c r="B425" s="14"/>
      <c r="C425" s="15"/>
      <c r="D425" s="41"/>
      <c r="E425" s="16"/>
      <c r="F425" s="9"/>
      <c r="G425" s="9"/>
      <c r="H425" s="9"/>
      <c r="I425" s="9"/>
      <c r="J425" s="9"/>
      <c r="K425" s="9"/>
      <c r="L425" s="9"/>
    </row>
    <row r="426" spans="1:12">
      <c r="A426" s="12"/>
      <c r="B426" s="14"/>
      <c r="C426" s="15"/>
      <c r="D426" s="14"/>
      <c r="E426" s="16"/>
      <c r="F426" s="9"/>
      <c r="G426" s="9"/>
      <c r="H426" s="9"/>
      <c r="I426" s="9"/>
      <c r="J426" s="9"/>
      <c r="K426" s="9"/>
      <c r="L426" s="9"/>
    </row>
    <row r="427" spans="1:12">
      <c r="A427" s="12"/>
      <c r="B427" s="14"/>
      <c r="C427" s="15"/>
      <c r="D427" s="14"/>
      <c r="E427" s="16"/>
      <c r="F427" s="9"/>
      <c r="G427" s="9"/>
      <c r="H427" s="9"/>
      <c r="I427" s="9"/>
      <c r="J427" s="9"/>
      <c r="K427" s="9"/>
      <c r="L427" s="9"/>
    </row>
    <row r="428" spans="1:12">
      <c r="A428" s="12"/>
      <c r="B428" s="14"/>
      <c r="C428" s="15"/>
      <c r="D428" s="43"/>
      <c r="E428" s="16"/>
      <c r="F428" s="9"/>
      <c r="G428" s="9"/>
      <c r="H428" s="9"/>
      <c r="I428" s="9"/>
      <c r="J428" s="9"/>
      <c r="K428" s="9"/>
      <c r="L428" s="9"/>
    </row>
    <row r="429" spans="1:12" ht="15.75">
      <c r="A429" s="12"/>
      <c r="B429" s="11"/>
      <c r="C429" s="11"/>
      <c r="D429" s="18"/>
      <c r="E429" s="19"/>
      <c r="F429" s="9"/>
      <c r="G429" s="9"/>
      <c r="H429" s="9"/>
      <c r="I429" s="9"/>
      <c r="J429" s="9"/>
      <c r="K429" s="9"/>
      <c r="L429" s="9"/>
    </row>
    <row r="430" spans="1:12">
      <c r="A430" s="12"/>
      <c r="B430" s="11"/>
      <c r="C430" s="11"/>
      <c r="D430" s="11"/>
      <c r="E430" s="12"/>
      <c r="F430" s="9"/>
      <c r="G430" s="9"/>
      <c r="H430" s="9"/>
      <c r="I430" s="9"/>
      <c r="J430" s="9"/>
      <c r="K430" s="9"/>
      <c r="L430" s="9"/>
    </row>
    <row r="431" spans="1:12" ht="15.75">
      <c r="A431" s="13"/>
      <c r="B431" s="11"/>
      <c r="C431" s="11"/>
      <c r="D431" s="11"/>
      <c r="E431" s="12"/>
      <c r="F431" s="9"/>
      <c r="G431" s="9"/>
      <c r="H431" s="9"/>
      <c r="I431" s="9"/>
      <c r="J431" s="9"/>
      <c r="K431" s="9"/>
      <c r="L431" s="9"/>
    </row>
    <row r="432" spans="1:12">
      <c r="A432" s="12"/>
      <c r="B432" s="14"/>
      <c r="C432" s="15"/>
      <c r="D432" s="11"/>
      <c r="E432" s="12"/>
      <c r="F432" s="9"/>
      <c r="G432" s="9"/>
      <c r="H432" s="9"/>
      <c r="I432" s="9"/>
      <c r="J432" s="9"/>
      <c r="K432" s="9"/>
      <c r="L432" s="9"/>
    </row>
    <row r="433" spans="1:12">
      <c r="A433" s="12"/>
      <c r="B433" s="14"/>
      <c r="C433" s="14"/>
      <c r="D433" s="14"/>
      <c r="E433" s="12"/>
      <c r="F433" s="9"/>
      <c r="G433" s="9"/>
      <c r="H433" s="9"/>
      <c r="I433" s="9"/>
      <c r="J433" s="9"/>
      <c r="K433" s="9"/>
      <c r="L433" s="9"/>
    </row>
    <row r="434" spans="1:12">
      <c r="A434" s="12"/>
      <c r="B434" s="14"/>
      <c r="C434" s="14"/>
      <c r="D434" s="14"/>
      <c r="E434" s="12"/>
      <c r="F434" s="9"/>
      <c r="G434" s="9"/>
      <c r="H434" s="9"/>
      <c r="I434" s="9"/>
      <c r="J434" s="9"/>
      <c r="K434" s="9"/>
      <c r="L434" s="9"/>
    </row>
    <row r="435" spans="1:12" ht="15.75">
      <c r="A435" s="12"/>
      <c r="B435" s="11"/>
      <c r="C435" s="18"/>
      <c r="D435" s="29"/>
      <c r="E435" s="12"/>
      <c r="F435" s="9"/>
      <c r="G435" s="9"/>
      <c r="H435" s="9"/>
      <c r="I435" s="9"/>
      <c r="J435" s="9"/>
      <c r="K435" s="9"/>
      <c r="L435" s="9"/>
    </row>
    <row r="436" spans="1:12">
      <c r="A436" s="12"/>
      <c r="B436" s="11"/>
      <c r="C436" s="11"/>
      <c r="D436" s="11"/>
      <c r="E436" s="12"/>
      <c r="F436" s="9"/>
      <c r="G436" s="9"/>
      <c r="H436" s="9"/>
      <c r="I436" s="9"/>
      <c r="J436" s="9"/>
      <c r="K436" s="9"/>
      <c r="L436" s="9"/>
    </row>
    <row r="437" spans="1:12">
      <c r="A437" s="12"/>
      <c r="B437" s="11"/>
      <c r="C437" s="14"/>
      <c r="D437" s="14"/>
      <c r="E437" s="12"/>
      <c r="F437" s="9"/>
      <c r="G437" s="9"/>
      <c r="H437" s="9"/>
      <c r="I437" s="9"/>
      <c r="J437" s="9"/>
      <c r="K437" s="9"/>
      <c r="L437" s="9"/>
    </row>
    <row r="438" spans="1:12">
      <c r="A438" s="12"/>
      <c r="B438" s="11"/>
      <c r="C438" s="14"/>
      <c r="D438" s="14"/>
      <c r="E438" s="12"/>
      <c r="F438" s="9"/>
      <c r="G438" s="9"/>
      <c r="H438" s="9"/>
      <c r="I438" s="9"/>
      <c r="J438" s="9"/>
      <c r="K438" s="9"/>
      <c r="L438" s="9"/>
    </row>
    <row r="439" spans="1:12">
      <c r="A439" s="12"/>
      <c r="B439" s="11"/>
      <c r="C439" s="11"/>
      <c r="D439" s="11"/>
      <c r="E439" s="12"/>
      <c r="F439" s="9"/>
      <c r="G439" s="9"/>
      <c r="H439" s="9"/>
      <c r="I439" s="9"/>
      <c r="J439" s="9"/>
      <c r="K439" s="9"/>
      <c r="L439" s="9"/>
    </row>
    <row r="440" spans="1:12" ht="15.75">
      <c r="A440" s="13"/>
      <c r="B440" s="11"/>
      <c r="C440" s="11"/>
      <c r="D440" s="11"/>
      <c r="E440" s="12"/>
      <c r="F440" s="9"/>
      <c r="G440" s="9"/>
      <c r="H440" s="9"/>
      <c r="I440" s="9"/>
      <c r="J440" s="9"/>
      <c r="K440" s="9"/>
      <c r="L440" s="9"/>
    </row>
    <row r="441" spans="1:12">
      <c r="A441" s="12"/>
      <c r="B441" s="11"/>
      <c r="C441" s="11"/>
      <c r="D441" s="11"/>
      <c r="E441" s="12"/>
      <c r="F441" s="9"/>
      <c r="G441" s="9"/>
      <c r="H441" s="9"/>
      <c r="I441" s="9"/>
      <c r="J441" s="9"/>
      <c r="K441" s="9"/>
      <c r="L441" s="9"/>
    </row>
    <row r="442" spans="1:12">
      <c r="A442" s="12"/>
      <c r="B442" s="11"/>
      <c r="C442" s="15"/>
      <c r="D442" s="14"/>
      <c r="E442" s="16"/>
      <c r="F442" s="9"/>
      <c r="G442" s="9"/>
      <c r="H442" s="9"/>
      <c r="I442" s="9"/>
      <c r="J442" s="9"/>
      <c r="K442" s="9"/>
      <c r="L442" s="9"/>
    </row>
    <row r="443" spans="1:12">
      <c r="A443" s="12"/>
      <c r="B443" s="14"/>
      <c r="C443" s="15"/>
      <c r="D443" s="14"/>
      <c r="E443" s="16"/>
      <c r="F443" s="9"/>
      <c r="G443" s="9"/>
      <c r="H443" s="9"/>
      <c r="I443" s="9"/>
      <c r="J443" s="9"/>
      <c r="K443" s="9"/>
      <c r="L443" s="9"/>
    </row>
    <row r="444" spans="1:12">
      <c r="A444" s="12"/>
      <c r="B444" s="14"/>
      <c r="C444" s="15"/>
      <c r="D444" s="14"/>
      <c r="E444" s="16"/>
      <c r="F444" s="9"/>
      <c r="G444" s="9"/>
      <c r="H444" s="9"/>
      <c r="I444" s="9"/>
      <c r="J444" s="9"/>
      <c r="K444" s="9"/>
      <c r="L444" s="9"/>
    </row>
    <row r="445" spans="1:12">
      <c r="A445" s="12"/>
      <c r="B445" s="14"/>
      <c r="C445" s="15"/>
      <c r="D445" s="14"/>
      <c r="E445" s="16"/>
      <c r="F445" s="9"/>
      <c r="G445" s="9"/>
      <c r="H445" s="9"/>
      <c r="I445" s="9"/>
      <c r="J445" s="9"/>
      <c r="K445" s="9"/>
      <c r="L445" s="9"/>
    </row>
    <row r="446" spans="1:12">
      <c r="A446" s="12"/>
      <c r="B446" s="14"/>
      <c r="C446" s="15"/>
      <c r="D446" s="14"/>
      <c r="E446" s="16"/>
      <c r="F446" s="9"/>
      <c r="G446" s="9"/>
      <c r="H446" s="9"/>
      <c r="I446" s="9"/>
      <c r="J446" s="9"/>
      <c r="K446" s="9"/>
      <c r="L446" s="9"/>
    </row>
    <row r="447" spans="1:12">
      <c r="A447" s="12"/>
      <c r="B447" s="14"/>
      <c r="C447" s="15"/>
      <c r="D447" s="14"/>
      <c r="E447" s="16"/>
      <c r="F447" s="9"/>
      <c r="G447" s="9"/>
      <c r="H447" s="9"/>
      <c r="I447" s="9"/>
      <c r="J447" s="9"/>
      <c r="K447" s="9"/>
      <c r="L447" s="9"/>
    </row>
    <row r="448" spans="1:12">
      <c r="A448" s="12"/>
      <c r="B448" s="11"/>
      <c r="C448" s="15"/>
      <c r="D448" s="14"/>
      <c r="E448" s="16"/>
      <c r="F448" s="9"/>
      <c r="G448" s="9"/>
      <c r="H448" s="9"/>
      <c r="I448" s="9"/>
      <c r="J448" s="9"/>
      <c r="K448" s="9"/>
      <c r="L448" s="9"/>
    </row>
    <row r="449" spans="1:12">
      <c r="A449" s="47"/>
      <c r="B449" s="11"/>
      <c r="C449" s="15"/>
      <c r="D449" s="48"/>
      <c r="E449" s="16"/>
      <c r="F449" s="9"/>
      <c r="G449" s="9"/>
      <c r="H449" s="9"/>
      <c r="I449" s="9"/>
      <c r="J449" s="9"/>
      <c r="K449" s="9"/>
      <c r="L449" s="9"/>
    </row>
    <row r="450" spans="1:12">
      <c r="A450" s="47"/>
      <c r="B450" s="11"/>
      <c r="C450" s="15"/>
      <c r="D450" s="48"/>
      <c r="E450" s="16"/>
      <c r="F450" s="9"/>
      <c r="G450" s="9"/>
      <c r="H450" s="9"/>
      <c r="I450" s="9"/>
      <c r="J450" s="9"/>
      <c r="K450" s="9"/>
      <c r="L450" s="9"/>
    </row>
    <row r="451" spans="1:12" ht="15.75">
      <c r="A451" s="12"/>
      <c r="B451" s="11"/>
      <c r="C451" s="11"/>
      <c r="D451" s="18"/>
      <c r="E451" s="19"/>
      <c r="F451" s="9"/>
      <c r="G451" s="9"/>
      <c r="H451" s="9"/>
      <c r="I451" s="9"/>
      <c r="J451" s="9"/>
      <c r="K451" s="9"/>
      <c r="L451" s="9"/>
    </row>
    <row r="452" spans="1:12" ht="15.75">
      <c r="A452" s="12"/>
      <c r="B452" s="11"/>
      <c r="C452" s="11"/>
      <c r="D452" s="18"/>
      <c r="E452" s="19"/>
      <c r="F452" s="9"/>
      <c r="G452" s="9"/>
      <c r="H452" s="9"/>
      <c r="I452" s="9"/>
      <c r="J452" s="9"/>
      <c r="K452" s="9"/>
      <c r="L452" s="9"/>
    </row>
    <row r="453" spans="1:12">
      <c r="A453" s="12"/>
      <c r="B453" s="11"/>
      <c r="C453" s="11"/>
      <c r="D453" s="11"/>
      <c r="E453" s="12"/>
      <c r="F453" s="9"/>
      <c r="G453" s="9"/>
      <c r="H453" s="9"/>
      <c r="I453" s="9"/>
      <c r="J453" s="9"/>
      <c r="K453" s="9"/>
      <c r="L453" s="9"/>
    </row>
    <row r="454" spans="1:12">
      <c r="A454" s="12"/>
      <c r="B454" s="11"/>
      <c r="C454" s="11"/>
      <c r="D454" s="11"/>
      <c r="E454" s="12"/>
      <c r="F454" s="9"/>
      <c r="G454" s="9"/>
      <c r="H454" s="9"/>
      <c r="I454" s="9"/>
      <c r="J454" s="9"/>
      <c r="K454" s="9"/>
      <c r="L454" s="9"/>
    </row>
    <row r="455" spans="1:12">
      <c r="F455" s="9"/>
      <c r="G455" s="9"/>
      <c r="H455" s="9"/>
      <c r="I455" s="9"/>
      <c r="J455" s="9"/>
      <c r="K455" s="9"/>
      <c r="L455" s="9"/>
    </row>
    <row r="456" spans="1:12">
      <c r="F456" s="9"/>
      <c r="G456" s="9"/>
      <c r="H456" s="9"/>
      <c r="I456" s="9"/>
      <c r="J456" s="9"/>
      <c r="K456" s="9"/>
      <c r="L456" s="9"/>
    </row>
    <row r="457" spans="1:12">
      <c r="F457" s="9"/>
      <c r="G457" s="9"/>
      <c r="H457" s="9"/>
      <c r="I457" s="9"/>
      <c r="J457" s="9"/>
      <c r="K457" s="9"/>
      <c r="L457" s="9"/>
    </row>
    <row r="458" spans="1:12">
      <c r="F458" s="9"/>
      <c r="G458" s="9"/>
      <c r="H458" s="9"/>
      <c r="I458" s="9"/>
      <c r="J458" s="9"/>
      <c r="K458" s="9"/>
      <c r="L458" s="9"/>
    </row>
    <row r="459" spans="1:12">
      <c r="F459" s="9"/>
      <c r="G459" s="9"/>
      <c r="H459" s="9"/>
      <c r="I459" s="9"/>
      <c r="J459" s="9"/>
      <c r="K459" s="9"/>
      <c r="L459" s="9"/>
    </row>
    <row r="460" spans="1:12">
      <c r="F460" s="9"/>
      <c r="G460" s="9"/>
      <c r="H460" s="9"/>
      <c r="I460" s="9"/>
      <c r="J460" s="9"/>
      <c r="K460" s="9"/>
      <c r="L460" s="9"/>
    </row>
    <row r="461" spans="1:12">
      <c r="F461" s="9"/>
      <c r="G461" s="9"/>
      <c r="H461" s="9"/>
      <c r="I461" s="9"/>
      <c r="J461" s="9"/>
      <c r="K461" s="9"/>
      <c r="L461" s="9"/>
    </row>
    <row r="462" spans="1:12">
      <c r="F462" s="9"/>
      <c r="G462" s="9"/>
      <c r="H462" s="9"/>
      <c r="I462" s="9"/>
      <c r="J462" s="9"/>
      <c r="K462" s="9"/>
      <c r="L462" s="9"/>
    </row>
    <row r="463" spans="1:12">
      <c r="F463" s="9"/>
      <c r="G463" s="9"/>
      <c r="H463" s="9"/>
      <c r="I463" s="9"/>
      <c r="J463" s="9"/>
      <c r="K463" s="9"/>
      <c r="L463" s="9"/>
    </row>
    <row r="464" spans="1:12">
      <c r="F464" s="9"/>
      <c r="G464" s="9"/>
      <c r="H464" s="9"/>
      <c r="I464" s="9"/>
      <c r="J464" s="9"/>
      <c r="K464" s="9"/>
      <c r="L464" s="9"/>
    </row>
    <row r="465" spans="6:12">
      <c r="F465" s="9"/>
      <c r="G465" s="9"/>
      <c r="H465" s="9"/>
      <c r="I465" s="9"/>
      <c r="J465" s="9"/>
      <c r="K465" s="9"/>
      <c r="L465" s="9"/>
    </row>
    <row r="466" spans="6:12">
      <c r="F466" s="9"/>
      <c r="G466" s="9"/>
      <c r="H466" s="9"/>
      <c r="I466" s="9"/>
      <c r="J466" s="9"/>
      <c r="K466" s="9"/>
      <c r="L466" s="9"/>
    </row>
    <row r="467" spans="6:12">
      <c r="F467" s="9"/>
      <c r="G467" s="9"/>
      <c r="H467" s="9"/>
      <c r="I467" s="9"/>
      <c r="J467" s="9"/>
      <c r="K467" s="9"/>
      <c r="L467" s="9"/>
    </row>
    <row r="468" spans="6:12">
      <c r="F468" s="9"/>
      <c r="G468" s="9"/>
      <c r="H468" s="9"/>
      <c r="I468" s="9"/>
      <c r="J468" s="9"/>
      <c r="K468" s="9"/>
      <c r="L468" s="9"/>
    </row>
    <row r="469" spans="6:12">
      <c r="F469" s="9"/>
      <c r="G469" s="9"/>
      <c r="H469" s="9"/>
      <c r="I469" s="9"/>
      <c r="J469" s="9"/>
      <c r="K469" s="9"/>
      <c r="L469" s="9"/>
    </row>
    <row r="470" spans="6:12">
      <c r="F470" s="9"/>
      <c r="G470" s="9"/>
      <c r="H470" s="9"/>
      <c r="I470" s="9"/>
      <c r="J470" s="9"/>
      <c r="K470" s="9"/>
      <c r="L470" s="9"/>
    </row>
    <row r="471" spans="6:12">
      <c r="F471" s="9"/>
      <c r="G471" s="9"/>
      <c r="H471" s="9"/>
      <c r="I471" s="9"/>
      <c r="J471" s="9"/>
      <c r="K471" s="9"/>
      <c r="L471" s="9"/>
    </row>
    <row r="472" spans="6:12">
      <c r="F472" s="9"/>
      <c r="G472" s="9"/>
      <c r="H472" s="9"/>
      <c r="I472" s="9"/>
      <c r="J472" s="9"/>
      <c r="K472" s="9"/>
      <c r="L472" s="9"/>
    </row>
    <row r="473" spans="6:12">
      <c r="F473" s="9"/>
      <c r="G473" s="9"/>
      <c r="H473" s="9"/>
      <c r="I473" s="9"/>
      <c r="J473" s="9"/>
      <c r="K473" s="9"/>
      <c r="L473" s="9"/>
    </row>
    <row r="474" spans="6:12">
      <c r="F474" s="9"/>
      <c r="G474" s="9"/>
      <c r="H474" s="9"/>
      <c r="I474" s="9"/>
      <c r="J474" s="9"/>
      <c r="K474" s="9"/>
      <c r="L474" s="9"/>
    </row>
    <row r="475" spans="6:12">
      <c r="F475" s="9"/>
      <c r="G475" s="9"/>
      <c r="H475" s="9"/>
      <c r="I475" s="9"/>
      <c r="J475" s="9"/>
      <c r="K475" s="9"/>
      <c r="L475" s="9"/>
    </row>
    <row r="476" spans="6:12">
      <c r="F476" s="9"/>
      <c r="G476" s="9"/>
      <c r="H476" s="9"/>
      <c r="I476" s="9"/>
      <c r="J476" s="9"/>
      <c r="K476" s="9"/>
      <c r="L476" s="9"/>
    </row>
    <row r="477" spans="6:12">
      <c r="F477" s="9"/>
      <c r="G477" s="9"/>
      <c r="H477" s="9"/>
      <c r="I477" s="9"/>
      <c r="J477" s="9"/>
      <c r="K477" s="9"/>
      <c r="L477" s="9"/>
    </row>
    <row r="478" spans="6:12">
      <c r="F478" s="9"/>
      <c r="G478" s="9"/>
      <c r="H478" s="9"/>
      <c r="I478" s="9"/>
      <c r="J478" s="9"/>
      <c r="K478" s="9"/>
      <c r="L478" s="9"/>
    </row>
    <row r="479" spans="6:12">
      <c r="F479" s="9"/>
      <c r="G479" s="9"/>
      <c r="H479" s="9"/>
      <c r="I479" s="9"/>
      <c r="J479" s="9"/>
      <c r="K479" s="9"/>
      <c r="L479" s="9"/>
    </row>
    <row r="480" spans="6:12">
      <c r="F480" s="9"/>
      <c r="G480" s="9"/>
      <c r="H480" s="9"/>
      <c r="I480" s="9"/>
      <c r="J480" s="9"/>
      <c r="K480" s="9"/>
      <c r="L480" s="9"/>
    </row>
    <row r="481" spans="6:12">
      <c r="F481" s="9"/>
      <c r="G481" s="9"/>
      <c r="H481" s="9"/>
      <c r="I481" s="9"/>
      <c r="J481" s="9"/>
      <c r="K481" s="9"/>
      <c r="L481" s="9"/>
    </row>
    <row r="482" spans="6:12">
      <c r="F482" s="9"/>
      <c r="G482" s="9"/>
      <c r="H482" s="9"/>
      <c r="I482" s="9"/>
      <c r="J482" s="9"/>
      <c r="K482" s="9"/>
      <c r="L482" s="9"/>
    </row>
    <row r="483" spans="6:12">
      <c r="F483" s="9"/>
      <c r="G483" s="9"/>
      <c r="H483" s="9"/>
      <c r="I483" s="9"/>
      <c r="J483" s="9"/>
      <c r="K483" s="9"/>
      <c r="L483" s="9"/>
    </row>
    <row r="484" spans="6:12">
      <c r="F484" s="9"/>
      <c r="G484" s="9"/>
      <c r="H484" s="9"/>
      <c r="I484" s="9"/>
      <c r="J484" s="9"/>
      <c r="K484" s="9"/>
      <c r="L484" s="9"/>
    </row>
    <row r="485" spans="6:12">
      <c r="F485" s="9"/>
      <c r="G485" s="9"/>
      <c r="H485" s="9"/>
      <c r="I485" s="9"/>
      <c r="J485" s="9"/>
      <c r="K485" s="9"/>
      <c r="L485" s="9"/>
    </row>
    <row r="486" spans="6:12">
      <c r="F486" s="9"/>
      <c r="G486" s="9"/>
      <c r="H486" s="9"/>
      <c r="I486" s="9"/>
      <c r="J486" s="9"/>
      <c r="K486" s="9"/>
      <c r="L486" s="9"/>
    </row>
    <row r="487" spans="6:12">
      <c r="F487" s="9"/>
      <c r="G487" s="9"/>
      <c r="H487" s="9"/>
      <c r="I487" s="9"/>
      <c r="J487" s="9"/>
      <c r="K487" s="9"/>
      <c r="L487" s="9"/>
    </row>
    <row r="488" spans="6:12">
      <c r="F488" s="9"/>
      <c r="G488" s="9"/>
      <c r="H488" s="9"/>
      <c r="I488" s="9"/>
      <c r="J488" s="9"/>
      <c r="K488" s="9"/>
      <c r="L488" s="9"/>
    </row>
    <row r="489" spans="6:12">
      <c r="F489" s="9"/>
      <c r="G489" s="9"/>
      <c r="H489" s="9"/>
      <c r="I489" s="9"/>
      <c r="J489" s="9"/>
      <c r="K489" s="9"/>
      <c r="L489" s="9"/>
    </row>
    <row r="490" spans="6:12">
      <c r="F490" s="9"/>
      <c r="G490" s="9"/>
      <c r="H490" s="9"/>
      <c r="I490" s="9"/>
      <c r="J490" s="9"/>
      <c r="K490" s="9"/>
      <c r="L490" s="9"/>
    </row>
    <row r="491" spans="6:12">
      <c r="F491" s="9"/>
      <c r="G491" s="9"/>
      <c r="H491" s="9"/>
      <c r="I491" s="9"/>
      <c r="J491" s="9"/>
      <c r="K491" s="9"/>
      <c r="L491" s="9"/>
    </row>
    <row r="492" spans="6:12">
      <c r="F492" s="9"/>
      <c r="G492" s="9"/>
      <c r="H492" s="9"/>
      <c r="I492" s="9"/>
      <c r="J492" s="9"/>
      <c r="K492" s="9"/>
      <c r="L492" s="9"/>
    </row>
    <row r="493" spans="6:12">
      <c r="F493" s="9"/>
      <c r="G493" s="9"/>
      <c r="H493" s="9"/>
      <c r="I493" s="9"/>
      <c r="J493" s="9"/>
      <c r="K493" s="9"/>
      <c r="L493" s="9"/>
    </row>
    <row r="494" spans="6:12">
      <c r="F494" s="9"/>
      <c r="G494" s="9"/>
      <c r="H494" s="9"/>
      <c r="I494" s="9"/>
      <c r="J494" s="9"/>
      <c r="K494" s="9"/>
      <c r="L494" s="9"/>
    </row>
    <row r="495" spans="6:12">
      <c r="F495" s="9"/>
      <c r="G495" s="9"/>
      <c r="H495" s="9"/>
      <c r="I495" s="9"/>
      <c r="J495" s="9"/>
      <c r="K495" s="9"/>
      <c r="L495" s="9"/>
    </row>
    <row r="496" spans="6:12">
      <c r="F496" s="9"/>
      <c r="G496" s="9"/>
      <c r="H496" s="9"/>
      <c r="I496" s="9"/>
      <c r="J496" s="9"/>
      <c r="K496" s="9"/>
      <c r="L496" s="9"/>
    </row>
    <row r="497" spans="6:12">
      <c r="F497" s="9"/>
      <c r="G497" s="9"/>
      <c r="H497" s="9"/>
      <c r="I497" s="9"/>
      <c r="J497" s="9"/>
      <c r="K497" s="9"/>
      <c r="L497" s="9"/>
    </row>
    <row r="498" spans="6:12">
      <c r="F498" s="9"/>
      <c r="G498" s="9"/>
      <c r="H498" s="9"/>
      <c r="I498" s="9"/>
      <c r="J498" s="9"/>
      <c r="K498" s="9"/>
      <c r="L498" s="9"/>
    </row>
    <row r="499" spans="6:12">
      <c r="F499" s="9"/>
      <c r="G499" s="9"/>
      <c r="H499" s="9"/>
      <c r="I499" s="9"/>
      <c r="J499" s="9"/>
      <c r="K499" s="9"/>
      <c r="L499" s="9"/>
    </row>
    <row r="500" spans="6:12">
      <c r="F500" s="9"/>
      <c r="G500" s="9"/>
      <c r="H500" s="9"/>
      <c r="I500" s="9"/>
      <c r="J500" s="9"/>
      <c r="K500" s="9"/>
      <c r="L500" s="9"/>
    </row>
    <row r="501" spans="6:12">
      <c r="F501" s="9"/>
      <c r="G501" s="9"/>
      <c r="H501" s="9"/>
      <c r="I501" s="9"/>
      <c r="J501" s="9"/>
      <c r="K501" s="9"/>
      <c r="L501" s="9"/>
    </row>
    <row r="502" spans="6:12">
      <c r="F502" s="9"/>
      <c r="G502" s="9"/>
      <c r="H502" s="9"/>
      <c r="I502" s="9"/>
      <c r="J502" s="9"/>
      <c r="K502" s="9"/>
      <c r="L502" s="9"/>
    </row>
    <row r="503" spans="6:12">
      <c r="F503" s="9"/>
      <c r="G503" s="9"/>
      <c r="H503" s="9"/>
      <c r="I503" s="9"/>
      <c r="J503" s="9"/>
      <c r="K503" s="9"/>
      <c r="L503" s="9"/>
    </row>
    <row r="504" spans="6:12">
      <c r="F504" s="9"/>
      <c r="G504" s="9"/>
      <c r="H504" s="9"/>
      <c r="I504" s="9"/>
      <c r="J504" s="9"/>
      <c r="K504" s="9"/>
      <c r="L504" s="9"/>
    </row>
    <row r="505" spans="6:12">
      <c r="F505" s="9"/>
      <c r="G505" s="9"/>
      <c r="H505" s="9"/>
      <c r="I505" s="9"/>
      <c r="J505" s="9"/>
      <c r="K505" s="9"/>
      <c r="L505" s="9"/>
    </row>
    <row r="506" spans="6:12">
      <c r="F506" s="9"/>
      <c r="G506" s="9"/>
      <c r="H506" s="9"/>
      <c r="I506" s="9"/>
      <c r="J506" s="9"/>
      <c r="K506" s="9"/>
      <c r="L506" s="9"/>
    </row>
    <row r="507" spans="6:12">
      <c r="F507" s="9"/>
      <c r="G507" s="9"/>
      <c r="H507" s="9"/>
      <c r="I507" s="9"/>
      <c r="J507" s="9"/>
      <c r="K507" s="9"/>
      <c r="L507" s="9"/>
    </row>
    <row r="508" spans="6:12">
      <c r="F508" s="9"/>
      <c r="G508" s="9"/>
      <c r="H508" s="9"/>
      <c r="I508" s="9"/>
      <c r="J508" s="9"/>
      <c r="K508" s="9"/>
      <c r="L508" s="9"/>
    </row>
    <row r="509" spans="6:12">
      <c r="F509" s="9"/>
      <c r="G509" s="9"/>
      <c r="H509" s="9"/>
      <c r="I509" s="9"/>
      <c r="J509" s="9"/>
      <c r="K509" s="9"/>
      <c r="L509" s="9"/>
    </row>
    <row r="510" spans="6:12">
      <c r="F510" s="9"/>
      <c r="G510" s="9"/>
      <c r="H510" s="9"/>
      <c r="I510" s="9"/>
      <c r="J510" s="9"/>
      <c r="K510" s="9"/>
      <c r="L510" s="9"/>
    </row>
    <row r="511" spans="6:12">
      <c r="F511" s="9"/>
      <c r="G511" s="9"/>
      <c r="H511" s="9"/>
      <c r="I511" s="9"/>
      <c r="J511" s="9"/>
      <c r="K511" s="9"/>
      <c r="L511" s="9"/>
    </row>
    <row r="512" spans="6:12">
      <c r="F512" s="9"/>
      <c r="G512" s="9"/>
      <c r="H512" s="9"/>
      <c r="I512" s="9"/>
      <c r="J512" s="9"/>
      <c r="K512" s="9"/>
      <c r="L512" s="9"/>
    </row>
    <row r="513" spans="6:12">
      <c r="F513" s="9"/>
      <c r="G513" s="9"/>
      <c r="H513" s="9"/>
      <c r="I513" s="9"/>
      <c r="J513" s="9"/>
      <c r="K513" s="9"/>
      <c r="L513" s="9"/>
    </row>
    <row r="514" spans="6:12">
      <c r="F514" s="9"/>
      <c r="G514" s="9"/>
      <c r="H514" s="9"/>
      <c r="I514" s="9"/>
      <c r="J514" s="9"/>
      <c r="K514" s="9"/>
      <c r="L514" s="9"/>
    </row>
    <row r="515" spans="6:12">
      <c r="F515" s="9"/>
      <c r="G515" s="9"/>
      <c r="H515" s="9"/>
      <c r="I515" s="9"/>
      <c r="J515" s="9"/>
      <c r="K515" s="9"/>
      <c r="L515" s="9"/>
    </row>
    <row r="516" spans="6:12">
      <c r="F516" s="9"/>
      <c r="G516" s="9"/>
      <c r="H516" s="9"/>
      <c r="I516" s="9"/>
      <c r="J516" s="9"/>
      <c r="K516" s="9"/>
      <c r="L516" s="9"/>
    </row>
    <row r="517" spans="6:12">
      <c r="F517" s="9"/>
      <c r="G517" s="9"/>
      <c r="H517" s="9"/>
      <c r="I517" s="9"/>
      <c r="J517" s="9"/>
      <c r="K517" s="9"/>
      <c r="L517" s="9"/>
    </row>
    <row r="518" spans="6:12">
      <c r="F518" s="9"/>
      <c r="G518" s="9"/>
      <c r="H518" s="9"/>
      <c r="I518" s="9"/>
      <c r="J518" s="9"/>
      <c r="K518" s="9"/>
      <c r="L518" s="9"/>
    </row>
    <row r="519" spans="6:12">
      <c r="F519" s="9"/>
      <c r="G519" s="9"/>
      <c r="H519" s="9"/>
      <c r="I519" s="9"/>
      <c r="J519" s="9"/>
      <c r="K519" s="9"/>
      <c r="L519" s="9"/>
    </row>
    <row r="520" spans="6:12">
      <c r="F520" s="9"/>
      <c r="G520" s="9"/>
      <c r="H520" s="9"/>
      <c r="I520" s="9"/>
      <c r="J520" s="9"/>
      <c r="K520" s="9"/>
      <c r="L520" s="9"/>
    </row>
    <row r="521" spans="6:12">
      <c r="F521" s="9"/>
      <c r="G521" s="9"/>
      <c r="H521" s="9"/>
      <c r="I521" s="9"/>
      <c r="J521" s="9"/>
      <c r="K521" s="9"/>
      <c r="L521" s="9"/>
    </row>
    <row r="522" spans="6:12">
      <c r="F522" s="9"/>
      <c r="G522" s="9"/>
      <c r="H522" s="9"/>
      <c r="I522" s="9"/>
      <c r="J522" s="9"/>
      <c r="K522" s="9"/>
      <c r="L522" s="9"/>
    </row>
    <row r="523" spans="6:12">
      <c r="F523" s="9"/>
      <c r="G523" s="9"/>
      <c r="H523" s="9"/>
      <c r="I523" s="9"/>
      <c r="J523" s="9"/>
      <c r="K523" s="9"/>
      <c r="L523" s="9"/>
    </row>
    <row r="524" spans="6:12">
      <c r="F524" s="9"/>
      <c r="G524" s="9"/>
      <c r="H524" s="9"/>
      <c r="I524" s="9"/>
      <c r="J524" s="9"/>
      <c r="K524" s="9"/>
      <c r="L524" s="9"/>
    </row>
    <row r="525" spans="6:12">
      <c r="F525" s="9"/>
      <c r="G525" s="9"/>
      <c r="H525" s="9"/>
      <c r="I525" s="9"/>
      <c r="J525" s="9"/>
      <c r="K525" s="9"/>
      <c r="L525" s="9"/>
    </row>
    <row r="526" spans="6:12">
      <c r="F526" s="9"/>
      <c r="G526" s="9"/>
      <c r="H526" s="9"/>
      <c r="I526" s="9"/>
      <c r="J526" s="9"/>
      <c r="K526" s="9"/>
      <c r="L526" s="9"/>
    </row>
    <row r="527" spans="6:12">
      <c r="F527" s="9"/>
      <c r="G527" s="9"/>
      <c r="H527" s="9"/>
      <c r="I527" s="9"/>
      <c r="J527" s="9"/>
      <c r="K527" s="9"/>
      <c r="L527" s="9"/>
    </row>
    <row r="528" spans="6:12">
      <c r="F528" s="9"/>
      <c r="G528" s="9"/>
      <c r="H528" s="9"/>
      <c r="I528" s="9"/>
      <c r="J528" s="9"/>
      <c r="K528" s="9"/>
      <c r="L528" s="9"/>
    </row>
    <row r="529" spans="6:12">
      <c r="F529" s="9"/>
      <c r="G529" s="9"/>
      <c r="H529" s="9"/>
      <c r="I529" s="9"/>
      <c r="J529" s="9"/>
      <c r="K529" s="9"/>
      <c r="L529" s="9"/>
    </row>
    <row r="530" spans="6:12">
      <c r="F530" s="9"/>
      <c r="G530" s="9"/>
      <c r="H530" s="9"/>
      <c r="I530" s="9"/>
      <c r="J530" s="9"/>
      <c r="K530" s="9"/>
      <c r="L530" s="9"/>
    </row>
    <row r="531" spans="6:12">
      <c r="F531" s="9"/>
      <c r="G531" s="9"/>
      <c r="H531" s="9"/>
      <c r="I531" s="9"/>
      <c r="J531" s="9"/>
      <c r="K531" s="9"/>
      <c r="L531" s="9"/>
    </row>
    <row r="532" spans="6:12">
      <c r="F532" s="9"/>
      <c r="G532" s="9"/>
      <c r="H532" s="9"/>
      <c r="I532" s="9"/>
      <c r="J532" s="9"/>
      <c r="K532" s="9"/>
      <c r="L532" s="9"/>
    </row>
    <row r="533" spans="6:12">
      <c r="F533" s="9"/>
      <c r="G533" s="9"/>
      <c r="H533" s="9"/>
      <c r="I533" s="9"/>
      <c r="J533" s="9"/>
      <c r="K533" s="9"/>
      <c r="L533" s="9"/>
    </row>
    <row r="534" spans="6:12">
      <c r="F534" s="9"/>
      <c r="G534" s="9"/>
      <c r="H534" s="9"/>
      <c r="I534" s="9"/>
      <c r="J534" s="9"/>
      <c r="K534" s="9"/>
      <c r="L534" s="9"/>
    </row>
    <row r="535" spans="6:12">
      <c r="F535" s="9"/>
      <c r="G535" s="9"/>
      <c r="H535" s="9"/>
      <c r="I535" s="9"/>
      <c r="J535" s="9"/>
      <c r="K535" s="9"/>
      <c r="L535" s="9"/>
    </row>
    <row r="536" spans="6:12">
      <c r="F536" s="9"/>
      <c r="G536" s="9"/>
      <c r="H536" s="9"/>
      <c r="I536" s="9"/>
      <c r="J536" s="9"/>
      <c r="K536" s="9"/>
      <c r="L536" s="9"/>
    </row>
    <row r="537" spans="6:12">
      <c r="F537" s="9"/>
      <c r="G537" s="9"/>
      <c r="H537" s="9"/>
      <c r="I537" s="9"/>
      <c r="J537" s="9"/>
      <c r="K537" s="9"/>
      <c r="L537" s="9"/>
    </row>
    <row r="538" spans="6:12">
      <c r="F538" s="9"/>
      <c r="G538" s="9"/>
      <c r="H538" s="9"/>
      <c r="I538" s="9"/>
      <c r="J538" s="9"/>
      <c r="K538" s="9"/>
      <c r="L538" s="9"/>
    </row>
    <row r="539" spans="6:12">
      <c r="F539" s="9"/>
      <c r="G539" s="9"/>
      <c r="H539" s="9"/>
      <c r="I539" s="9"/>
      <c r="J539" s="9"/>
      <c r="K539" s="9"/>
      <c r="L539" s="9"/>
    </row>
    <row r="540" spans="6:12">
      <c r="F540" s="9"/>
      <c r="G540" s="9"/>
      <c r="H540" s="9"/>
      <c r="I540" s="9"/>
      <c r="J540" s="9"/>
      <c r="K540" s="9"/>
      <c r="L540" s="9"/>
    </row>
    <row r="541" spans="6:12">
      <c r="F541" s="9"/>
      <c r="G541" s="9"/>
      <c r="H541" s="9"/>
      <c r="I541" s="9"/>
      <c r="J541" s="9"/>
      <c r="K541" s="9"/>
      <c r="L541" s="9"/>
    </row>
    <row r="542" spans="6:12">
      <c r="F542" s="9"/>
      <c r="G542" s="9"/>
      <c r="H542" s="9"/>
      <c r="I542" s="9"/>
      <c r="J542" s="9"/>
      <c r="K542" s="9"/>
      <c r="L542" s="9"/>
    </row>
    <row r="543" spans="6:12">
      <c r="F543" s="9"/>
      <c r="G543" s="9"/>
      <c r="H543" s="9"/>
      <c r="I543" s="9"/>
      <c r="J543" s="9"/>
      <c r="K543" s="9"/>
      <c r="L543" s="9"/>
    </row>
    <row r="544" spans="6:12">
      <c r="F544" s="9"/>
      <c r="G544" s="9"/>
      <c r="H544" s="9"/>
      <c r="I544" s="9"/>
      <c r="J544" s="9"/>
      <c r="K544" s="9"/>
      <c r="L544" s="9"/>
    </row>
  </sheetData>
  <printOptions horizontalCentered="1" gridLines="1"/>
  <pageMargins left="0.70866141732283472" right="0.51181102362204722" top="0.74803149606299213" bottom="0.98425196850393704" header="0.19685039370078741" footer="0.19685039370078741"/>
  <pageSetup scale="65" orientation="portrait" horizontalDpi="300" verticalDpi="300" r:id="rId1"/>
  <headerFooter alignWithMargins="0">
    <oddHeader>&amp;L&amp;8MOYA
SUPERVISIONES Y CONSTRUCCIONES S.A&amp;R&amp;8Costa del Sol
Análisis de Precios Unitarios.</oddHeader>
    <oddFooter>&amp;L&amp;8Pagina No.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5</xdr:col>
                <xdr:colOff>676275</xdr:colOff>
                <xdr:row>5</xdr:row>
                <xdr:rowOff>76200</xdr:rowOff>
              </from>
              <to>
                <xdr:col>13</xdr:col>
                <xdr:colOff>19050</xdr:colOff>
                <xdr:row>19</xdr:row>
                <xdr:rowOff>161925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Word.Document.8" shapeId="5122" r:id="rId6">
          <objectPr defaultSize="0" r:id="rId7">
            <anchor moveWithCells="1">
              <from>
                <xdr:col>6</xdr:col>
                <xdr:colOff>0</xdr:colOff>
                <xdr:row>27</xdr:row>
                <xdr:rowOff>0</xdr:rowOff>
              </from>
              <to>
                <xdr:col>11</xdr:col>
                <xdr:colOff>809625</xdr:colOff>
                <xdr:row>131</xdr:row>
                <xdr:rowOff>180975</xdr:rowOff>
              </to>
            </anchor>
          </objectPr>
        </oleObject>
      </mc:Choice>
      <mc:Fallback>
        <oleObject progId="Word.Document.8" shapeId="5122" r:id="rId6"/>
      </mc:Fallback>
    </mc:AlternateContent>
    <mc:AlternateContent xmlns:mc="http://schemas.openxmlformats.org/markup-compatibility/2006">
      <mc:Choice Requires="x14">
        <oleObject progId="Word.Document.8" shapeId="5123" r:id="rId8">
          <objectPr defaultSize="0" r:id="rId9">
            <anchor moveWithCells="1">
              <from>
                <xdr:col>6</xdr:col>
                <xdr:colOff>0</xdr:colOff>
                <xdr:row>134</xdr:row>
                <xdr:rowOff>0</xdr:rowOff>
              </from>
              <to>
                <xdr:col>12</xdr:col>
                <xdr:colOff>657225</xdr:colOff>
                <xdr:row>256</xdr:row>
                <xdr:rowOff>142875</xdr:rowOff>
              </to>
            </anchor>
          </objectPr>
        </oleObject>
      </mc:Choice>
      <mc:Fallback>
        <oleObject progId="Word.Document.8" shapeId="5123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workbookViewId="0">
      <selection activeCell="F29" sqref="F29"/>
    </sheetView>
  </sheetViews>
  <sheetFormatPr baseColWidth="10" defaultColWidth="11.42578125" defaultRowHeight="15"/>
  <cols>
    <col min="1" max="1" width="52.28515625" style="70" customWidth="1"/>
    <col min="2" max="16384" width="11.42578125" style="70"/>
  </cols>
  <sheetData>
    <row r="3" spans="1:8" ht="15.75">
      <c r="A3" s="569" t="s">
        <v>403</v>
      </c>
      <c r="B3" s="570"/>
      <c r="C3" s="570"/>
      <c r="D3" s="570"/>
      <c r="E3" s="571"/>
      <c r="F3" s="69"/>
      <c r="G3" s="69"/>
      <c r="H3" s="69"/>
    </row>
    <row r="4" spans="1:8" ht="15.75">
      <c r="A4" s="69"/>
      <c r="B4" s="71"/>
      <c r="C4" s="72"/>
      <c r="D4" s="69"/>
      <c r="E4" s="69"/>
      <c r="F4" s="69"/>
      <c r="G4" s="69"/>
      <c r="H4" s="69"/>
    </row>
    <row r="5" spans="1:8" ht="15.75">
      <c r="A5" s="69"/>
      <c r="B5" s="71"/>
      <c r="C5" s="72"/>
      <c r="D5" s="69"/>
      <c r="E5" s="69"/>
      <c r="F5" s="69"/>
      <c r="G5" s="69"/>
      <c r="H5" s="69"/>
    </row>
    <row r="6" spans="1:8" ht="15.75">
      <c r="A6" s="73"/>
      <c r="B6" s="74"/>
      <c r="C6" s="75"/>
      <c r="D6" s="69"/>
      <c r="E6" s="69"/>
      <c r="F6" s="69"/>
      <c r="G6" s="69"/>
      <c r="H6" s="69"/>
    </row>
    <row r="7" spans="1:8" ht="15.75">
      <c r="A7" s="76"/>
      <c r="B7" s="74"/>
      <c r="C7" s="75"/>
      <c r="D7" s="69"/>
      <c r="E7" s="69"/>
      <c r="F7" s="69"/>
      <c r="G7" s="69"/>
      <c r="H7" s="69"/>
    </row>
    <row r="8" spans="1:8" ht="15.75">
      <c r="A8" s="73" t="s">
        <v>404</v>
      </c>
      <c r="B8" s="74"/>
      <c r="C8" s="75"/>
      <c r="D8" s="69"/>
      <c r="E8" s="69"/>
      <c r="F8" s="69"/>
      <c r="G8" s="69"/>
      <c r="H8" s="69"/>
    </row>
    <row r="9" spans="1:8" ht="15.75">
      <c r="A9" s="76"/>
      <c r="B9" s="74"/>
      <c r="C9" s="75"/>
      <c r="D9" s="69"/>
      <c r="E9" s="69"/>
      <c r="F9" s="69"/>
      <c r="G9" s="69"/>
      <c r="H9" s="69"/>
    </row>
    <row r="10" spans="1:8" ht="15.75">
      <c r="A10" s="77" t="s">
        <v>405</v>
      </c>
      <c r="B10" s="74" t="s">
        <v>91</v>
      </c>
      <c r="C10" s="78">
        <f>(675+708.75+708.75+708.75+742.5+742.5+742.5)/7+F11</f>
        <v>742.93368134412276</v>
      </c>
      <c r="D10" s="69">
        <v>718.07142857142856</v>
      </c>
      <c r="E10" s="69" t="s">
        <v>406</v>
      </c>
      <c r="F10" s="69"/>
      <c r="G10" s="69"/>
      <c r="H10" s="69"/>
    </row>
    <row r="11" spans="1:8" ht="15.75">
      <c r="A11" s="76" t="s">
        <v>407</v>
      </c>
      <c r="B11" s="74" t="s">
        <v>91</v>
      </c>
      <c r="C11" s="78">
        <f>(590+619.5+619.5+619.5+649+649+649)/7+F11</f>
        <v>652.46939562983709</v>
      </c>
      <c r="D11" s="69">
        <v>627.71428571428567</v>
      </c>
      <c r="E11" s="69">
        <f>40+13+15.6+88.4+33.8+15.6+70.2+33.8+15.6+70.2+18.2+33.8+15.6+70.2+18.2+33.8+15.6+70.2+18.2+33.8+15.6+70.2+18.2+33.8+15.6+70.2+18.2+33.8+15.6+122.2+18.2+33.8+54.6+18.2+23.4+10.4</f>
        <v>1295.8000000000004</v>
      </c>
      <c r="F11" s="69">
        <f>31800/E11</f>
        <v>24.540824201265618</v>
      </c>
      <c r="G11" s="69" t="s">
        <v>408</v>
      </c>
      <c r="H11" s="69"/>
    </row>
    <row r="12" spans="1:8" ht="15.75">
      <c r="A12" s="76" t="s">
        <v>409</v>
      </c>
      <c r="B12" s="74" t="s">
        <v>91</v>
      </c>
      <c r="C12" s="78">
        <f>((362.75+380.89+380.89+380.99+399.03+399.03+399.03)/7)+F11</f>
        <v>410.62796705840839</v>
      </c>
      <c r="D12" s="69">
        <v>426.51714285714303</v>
      </c>
      <c r="E12" s="69"/>
      <c r="F12" s="69"/>
      <c r="G12" s="69"/>
      <c r="H12" s="69"/>
    </row>
    <row r="13" spans="1:8" ht="15.75">
      <c r="A13" s="79" t="s">
        <v>410</v>
      </c>
      <c r="B13" s="74" t="s">
        <v>91</v>
      </c>
      <c r="C13" s="80">
        <v>157.5</v>
      </c>
      <c r="D13" s="69">
        <f>C13*2</f>
        <v>315</v>
      </c>
      <c r="E13" s="69" t="s">
        <v>411</v>
      </c>
      <c r="F13" s="69"/>
      <c r="G13" s="69"/>
      <c r="H13" s="69"/>
    </row>
    <row r="14" spans="1:8" ht="43.5" customHeight="1">
      <c r="A14" s="79" t="s">
        <v>412</v>
      </c>
      <c r="B14" s="74" t="s">
        <v>91</v>
      </c>
      <c r="C14" s="80">
        <v>36.75</v>
      </c>
      <c r="D14" s="69"/>
      <c r="E14" s="69"/>
      <c r="F14" s="69"/>
      <c r="G14" s="69"/>
      <c r="H14" s="69"/>
    </row>
    <row r="15" spans="1:8" ht="15.75">
      <c r="A15" s="76" t="s">
        <v>413</v>
      </c>
      <c r="B15" s="74" t="s">
        <v>414</v>
      </c>
      <c r="C15" s="81">
        <f>212.5/1.12</f>
        <v>189.73214285714283</v>
      </c>
      <c r="D15" s="69">
        <v>189.732142857143</v>
      </c>
      <c r="E15" s="69"/>
      <c r="F15" s="69"/>
      <c r="G15" s="69"/>
      <c r="H15" s="69"/>
    </row>
    <row r="16" spans="1:8" ht="15.75">
      <c r="A16" s="82" t="s">
        <v>415</v>
      </c>
      <c r="B16" s="74" t="s">
        <v>39</v>
      </c>
      <c r="C16" s="81">
        <f>(325+341.25+357.6)/3+(42.5+45+45+45+46.75+46.75+46.75+46.75)/8</f>
        <v>386.84583333333336</v>
      </c>
      <c r="D16" s="69">
        <v>357.50333333333333</v>
      </c>
      <c r="E16" s="69"/>
      <c r="F16" s="69"/>
      <c r="G16" s="69"/>
      <c r="H16" s="69"/>
    </row>
    <row r="17" spans="1:8" ht="15.75">
      <c r="A17" s="77" t="s">
        <v>416</v>
      </c>
      <c r="B17" s="74" t="s">
        <v>91</v>
      </c>
      <c r="C17" s="83">
        <f>(384.46+378.58+243.68)/3+(42.5+45+42+46.75)/3</f>
        <v>394.32333333333332</v>
      </c>
      <c r="D17" s="69">
        <v>369.05</v>
      </c>
      <c r="E17" s="69">
        <f>C17*2</f>
        <v>788.64666666666665</v>
      </c>
      <c r="F17" s="69"/>
      <c r="G17" s="69"/>
      <c r="H17" s="69"/>
    </row>
    <row r="18" spans="1:8" ht="15.75">
      <c r="A18" s="77" t="s">
        <v>417</v>
      </c>
      <c r="B18" s="74" t="s">
        <v>91</v>
      </c>
      <c r="C18" s="83">
        <f>+C17+60</f>
        <v>454.32333333333332</v>
      </c>
      <c r="D18" s="69">
        <v>369.05</v>
      </c>
      <c r="E18" s="69"/>
      <c r="F18" s="69"/>
      <c r="G18" s="69"/>
      <c r="H18" s="69"/>
    </row>
    <row r="19" spans="1:8" ht="15.75">
      <c r="A19" s="77" t="s">
        <v>418</v>
      </c>
      <c r="B19" s="74" t="s">
        <v>91</v>
      </c>
      <c r="C19" s="69">
        <v>231</v>
      </c>
      <c r="D19" s="69"/>
      <c r="E19" s="69"/>
      <c r="F19" s="69"/>
      <c r="G19" s="69"/>
      <c r="H19" s="69"/>
    </row>
    <row r="20" spans="1:8" ht="15.75">
      <c r="A20" s="77" t="s">
        <v>419</v>
      </c>
      <c r="B20" s="74" t="s">
        <v>91</v>
      </c>
      <c r="C20" s="69">
        <v>283.5</v>
      </c>
      <c r="D20" s="69"/>
      <c r="E20" s="69"/>
      <c r="F20" s="69"/>
      <c r="G20" s="69"/>
      <c r="H20" s="69"/>
    </row>
    <row r="21" spans="1:8" ht="15.75">
      <c r="A21" s="77"/>
      <c r="B21" s="74"/>
      <c r="C21" s="69"/>
      <c r="D21" s="69"/>
      <c r="E21" s="69"/>
      <c r="F21" s="69"/>
      <c r="G21" s="69"/>
      <c r="H21" s="69"/>
    </row>
    <row r="22" spans="1:8" ht="15.75">
      <c r="A22" s="76" t="s">
        <v>420</v>
      </c>
      <c r="B22" s="74" t="s">
        <v>91</v>
      </c>
      <c r="C22" s="83">
        <f>(236.5+248.33+260.15)/3+106.75</f>
        <v>355.07666666666671</v>
      </c>
      <c r="D22" s="69">
        <v>332.5</v>
      </c>
      <c r="E22" s="69"/>
      <c r="F22" s="69"/>
      <c r="G22" s="69"/>
      <c r="H22" s="69"/>
    </row>
    <row r="23" spans="1:8" ht="15.75">
      <c r="A23" s="76" t="s">
        <v>421</v>
      </c>
      <c r="B23" s="74" t="s">
        <v>91</v>
      </c>
      <c r="C23" s="84">
        <v>210</v>
      </c>
      <c r="D23" s="69"/>
      <c r="E23" s="69"/>
      <c r="F23" s="69"/>
      <c r="G23" s="69"/>
      <c r="H23" s="69"/>
    </row>
    <row r="24" spans="1:8" ht="15.75">
      <c r="A24" s="85" t="s">
        <v>422</v>
      </c>
      <c r="B24" s="74" t="s">
        <v>91</v>
      </c>
      <c r="C24" s="86">
        <v>294</v>
      </c>
      <c r="D24" s="69"/>
      <c r="E24" s="69"/>
      <c r="F24" s="69"/>
      <c r="G24" s="69"/>
      <c r="H24" s="69"/>
    </row>
    <row r="25" spans="1:8" ht="15.75">
      <c r="A25" s="76" t="s">
        <v>423</v>
      </c>
      <c r="B25" s="74" t="s">
        <v>39</v>
      </c>
      <c r="C25" s="84">
        <v>262.5</v>
      </c>
      <c r="D25" s="69">
        <v>306.49599999999998</v>
      </c>
      <c r="E25" s="69"/>
      <c r="F25" s="69"/>
      <c r="G25" s="69"/>
      <c r="H25" s="69"/>
    </row>
    <row r="26" spans="1:8" ht="15.75">
      <c r="A26" s="76" t="s">
        <v>424</v>
      </c>
      <c r="B26" s="74" t="s">
        <v>39</v>
      </c>
      <c r="C26" s="84">
        <v>294</v>
      </c>
      <c r="D26" s="69"/>
      <c r="E26" s="69"/>
      <c r="F26" s="69"/>
      <c r="G26" s="69"/>
      <c r="H26" s="69"/>
    </row>
    <row r="27" spans="1:8" ht="15.75">
      <c r="A27" s="76" t="s">
        <v>425</v>
      </c>
      <c r="B27" s="74" t="s">
        <v>39</v>
      </c>
      <c r="C27" s="84">
        <v>325</v>
      </c>
      <c r="D27" s="69"/>
      <c r="E27" s="69"/>
      <c r="F27" s="69"/>
      <c r="G27" s="69"/>
      <c r="H27" s="69"/>
    </row>
    <row r="28" spans="1:8" ht="15.75">
      <c r="A28" s="76" t="s">
        <v>426</v>
      </c>
      <c r="B28" s="74" t="s">
        <v>39</v>
      </c>
      <c r="C28" s="84">
        <v>357</v>
      </c>
      <c r="D28" s="69"/>
      <c r="E28" s="69"/>
      <c r="F28" s="69"/>
      <c r="G28" s="69"/>
      <c r="H28" s="69"/>
    </row>
    <row r="29" spans="1:8" ht="15.75">
      <c r="A29" s="76" t="s">
        <v>427</v>
      </c>
      <c r="B29" s="74" t="s">
        <v>39</v>
      </c>
      <c r="C29" s="84">
        <v>315</v>
      </c>
      <c r="D29" s="69"/>
      <c r="E29" s="69"/>
      <c r="F29" s="69"/>
      <c r="G29" s="69"/>
      <c r="H29" s="69"/>
    </row>
    <row r="30" spans="1:8" ht="15.75">
      <c r="A30" s="76" t="s">
        <v>428</v>
      </c>
      <c r="B30" s="74" t="s">
        <v>39</v>
      </c>
      <c r="C30" s="84">
        <v>315</v>
      </c>
      <c r="D30" s="69"/>
      <c r="E30" s="69"/>
      <c r="F30" s="69"/>
      <c r="G30" s="69"/>
      <c r="H30" s="69"/>
    </row>
    <row r="31" spans="1:8" ht="15.75">
      <c r="A31" s="76" t="s">
        <v>429</v>
      </c>
      <c r="B31" s="74" t="s">
        <v>91</v>
      </c>
      <c r="C31" s="84">
        <v>262.5</v>
      </c>
      <c r="D31" s="69"/>
      <c r="E31" s="69"/>
      <c r="F31" s="69"/>
      <c r="G31" s="69"/>
      <c r="H31" s="69"/>
    </row>
    <row r="32" spans="1:8" ht="15.75">
      <c r="A32" s="76" t="s">
        <v>430</v>
      </c>
      <c r="B32" s="74" t="s">
        <v>91</v>
      </c>
      <c r="C32" s="84">
        <v>294</v>
      </c>
      <c r="D32" s="69"/>
      <c r="E32" s="69"/>
      <c r="F32" s="69"/>
      <c r="G32" s="69"/>
      <c r="H32" s="69"/>
    </row>
    <row r="33" spans="1:8" ht="15.75">
      <c r="A33" s="76" t="s">
        <v>431</v>
      </c>
      <c r="B33" s="74" t="s">
        <v>91</v>
      </c>
      <c r="C33" s="84">
        <v>346.5</v>
      </c>
      <c r="D33" s="69"/>
      <c r="E33" s="69"/>
      <c r="F33" s="69"/>
      <c r="G33" s="69"/>
      <c r="H33" s="69"/>
    </row>
    <row r="34" spans="1:8" ht="15.75">
      <c r="A34" s="76" t="s">
        <v>432</v>
      </c>
      <c r="B34" s="74" t="s">
        <v>16</v>
      </c>
      <c r="C34" s="83">
        <v>6000</v>
      </c>
      <c r="D34" s="69">
        <v>4000</v>
      </c>
      <c r="E34" s="69"/>
      <c r="F34" s="69"/>
      <c r="G34" s="69"/>
      <c r="H34" s="69"/>
    </row>
    <row r="35" spans="1:8" ht="15.75">
      <c r="A35" s="76" t="s">
        <v>433</v>
      </c>
      <c r="B35" s="74" t="s">
        <v>91</v>
      </c>
      <c r="C35" s="83">
        <v>348.75</v>
      </c>
      <c r="D35" s="69">
        <v>348.75</v>
      </c>
      <c r="E35" s="69"/>
      <c r="F35" s="69"/>
      <c r="G35" s="69"/>
      <c r="H35" s="69"/>
    </row>
    <row r="36" spans="1:8" ht="15.75">
      <c r="A36" s="69" t="s">
        <v>434</v>
      </c>
      <c r="B36" s="71" t="s">
        <v>91</v>
      </c>
      <c r="C36" s="83">
        <f>(112.5+135+146.25+191.25)/4</f>
        <v>146.25</v>
      </c>
      <c r="D36" s="69">
        <v>55</v>
      </c>
      <c r="E36" s="69"/>
      <c r="F36" s="69"/>
      <c r="G36" s="69"/>
      <c r="H36" s="69"/>
    </row>
    <row r="37" spans="1:8" ht="15.75">
      <c r="A37" s="69" t="s">
        <v>435</v>
      </c>
      <c r="B37" s="71" t="s">
        <v>91</v>
      </c>
      <c r="C37" s="83">
        <v>44</v>
      </c>
      <c r="D37" s="69">
        <v>44</v>
      </c>
      <c r="E37" s="69"/>
      <c r="F37" s="69"/>
      <c r="G37" s="69"/>
      <c r="H37" s="69"/>
    </row>
    <row r="38" spans="1:8" ht="15.75">
      <c r="A38" s="69" t="s">
        <v>436</v>
      </c>
      <c r="B38" s="71" t="s">
        <v>91</v>
      </c>
      <c r="C38" s="83">
        <v>150</v>
      </c>
      <c r="D38" s="69"/>
      <c r="E38" s="69"/>
      <c r="F38" s="69"/>
      <c r="G38" s="69"/>
      <c r="H38" s="69"/>
    </row>
  </sheetData>
  <mergeCells count="1"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H29" sqref="H29"/>
    </sheetView>
  </sheetViews>
  <sheetFormatPr baseColWidth="10" defaultColWidth="11.42578125" defaultRowHeight="15"/>
  <cols>
    <col min="1" max="1" width="41.42578125" style="70" customWidth="1"/>
    <col min="2" max="16384" width="11.42578125" style="70"/>
  </cols>
  <sheetData>
    <row r="3" spans="1:8">
      <c r="A3" s="87"/>
    </row>
    <row r="4" spans="1:8">
      <c r="A4" s="87" t="s">
        <v>439</v>
      </c>
    </row>
    <row r="7" spans="1:8">
      <c r="A7" s="88" t="s">
        <v>440</v>
      </c>
      <c r="B7" s="89"/>
      <c r="C7" s="90"/>
      <c r="D7" s="91"/>
      <c r="E7" s="92"/>
      <c r="F7" s="93"/>
      <c r="G7" s="88"/>
    </row>
    <row r="8" spans="1:8">
      <c r="A8" s="94" t="s">
        <v>441</v>
      </c>
      <c r="B8" s="89">
        <f>ROUND(3.66*4.88,2)</f>
        <v>17.86</v>
      </c>
      <c r="C8" s="90" t="s">
        <v>11</v>
      </c>
      <c r="D8" s="91"/>
      <c r="E8" s="95"/>
      <c r="F8" s="96"/>
      <c r="G8" s="94"/>
    </row>
    <row r="9" spans="1:8">
      <c r="A9" s="94" t="s">
        <v>442</v>
      </c>
      <c r="B9" s="89">
        <f>ROUND(14*2*4*12/12,2)</f>
        <v>112</v>
      </c>
      <c r="C9" s="90" t="s">
        <v>10</v>
      </c>
      <c r="D9" s="91"/>
      <c r="E9" s="95"/>
      <c r="F9" s="96"/>
      <c r="G9" s="94"/>
    </row>
    <row r="10" spans="1:8">
      <c r="A10" s="94" t="s">
        <v>443</v>
      </c>
      <c r="B10" s="89">
        <f>ROUND(7*2*4*8/12,2)</f>
        <v>37.33</v>
      </c>
      <c r="C10" s="90" t="s">
        <v>10</v>
      </c>
      <c r="D10" s="91"/>
      <c r="E10" s="95"/>
      <c r="F10" s="96"/>
      <c r="G10" s="94"/>
      <c r="H10" s="70">
        <f>B8*25</f>
        <v>446.5</v>
      </c>
    </row>
    <row r="11" spans="1:8">
      <c r="A11" s="94" t="s">
        <v>444</v>
      </c>
      <c r="B11" s="89">
        <f>ROUND(2*2*4*14/12,2)</f>
        <v>18.670000000000002</v>
      </c>
      <c r="C11" s="90" t="s">
        <v>10</v>
      </c>
      <c r="D11" s="91"/>
      <c r="E11" s="95"/>
      <c r="F11" s="96"/>
      <c r="G11" s="94"/>
    </row>
    <row r="12" spans="1:8">
      <c r="A12" s="94" t="s">
        <v>445</v>
      </c>
      <c r="B12" s="89">
        <f>ROUND(2*2*4*18/12,2)</f>
        <v>24</v>
      </c>
      <c r="C12" s="90" t="s">
        <v>10</v>
      </c>
      <c r="D12" s="91"/>
      <c r="E12" s="95"/>
      <c r="F12" s="96"/>
      <c r="G12" s="94"/>
    </row>
    <row r="13" spans="1:8">
      <c r="A13" s="94" t="s">
        <v>446</v>
      </c>
      <c r="B13" s="89">
        <f>ROUND(4*1*4*8/12,2)</f>
        <v>10.67</v>
      </c>
      <c r="C13" s="90" t="s">
        <v>10</v>
      </c>
      <c r="D13" s="91"/>
      <c r="E13" s="95"/>
      <c r="F13" s="96"/>
      <c r="G13" s="94"/>
    </row>
    <row r="14" spans="1:8">
      <c r="A14" s="94" t="s">
        <v>447</v>
      </c>
      <c r="B14" s="89">
        <f>ROUND(SUM(B9:B13)/4*1.25,2)</f>
        <v>63.33</v>
      </c>
      <c r="C14" s="90" t="s">
        <v>10</v>
      </c>
      <c r="D14" s="91">
        <v>100</v>
      </c>
      <c r="E14" s="95">
        <f t="shared" ref="E14:E28" si="0">ROUND(B14*D14,2)</f>
        <v>6333</v>
      </c>
      <c r="F14" s="96"/>
      <c r="G14" s="94"/>
    </row>
    <row r="15" spans="1:8">
      <c r="A15" s="94" t="s">
        <v>448</v>
      </c>
      <c r="B15" s="89">
        <f>ROUND(13/6,2)</f>
        <v>2.17</v>
      </c>
      <c r="C15" s="90" t="s">
        <v>12</v>
      </c>
      <c r="D15" s="91">
        <v>2095</v>
      </c>
      <c r="E15" s="95">
        <f t="shared" si="0"/>
        <v>4546.1499999999996</v>
      </c>
      <c r="F15" s="96"/>
      <c r="G15" s="94"/>
    </row>
    <row r="16" spans="1:8">
      <c r="A16" s="94" t="s">
        <v>449</v>
      </c>
      <c r="B16" s="97">
        <f>ROUND(1/6,2)</f>
        <v>0.17</v>
      </c>
      <c r="C16" s="90" t="s">
        <v>12</v>
      </c>
      <c r="D16" s="91">
        <v>2095</v>
      </c>
      <c r="E16" s="95">
        <f t="shared" si="0"/>
        <v>356.15</v>
      </c>
      <c r="F16" s="96"/>
      <c r="G16" s="94"/>
    </row>
    <row r="17" spans="1:7">
      <c r="A17" s="94" t="s">
        <v>450</v>
      </c>
      <c r="B17" s="97">
        <v>14</v>
      </c>
      <c r="C17" s="90" t="s">
        <v>12</v>
      </c>
      <c r="D17" s="91">
        <v>275</v>
      </c>
      <c r="E17" s="95">
        <f t="shared" si="0"/>
        <v>3850</v>
      </c>
      <c r="F17" s="96"/>
      <c r="G17" s="94"/>
    </row>
    <row r="18" spans="1:7">
      <c r="A18" s="88" t="s">
        <v>451</v>
      </c>
      <c r="B18" s="89">
        <f>SUM(B9:B13)/100*5</f>
        <v>10.1335</v>
      </c>
      <c r="C18" s="90" t="s">
        <v>30</v>
      </c>
      <c r="D18" s="91">
        <v>33</v>
      </c>
      <c r="E18" s="95">
        <f t="shared" si="0"/>
        <v>334.41</v>
      </c>
      <c r="F18" s="93"/>
      <c r="G18" s="88"/>
    </row>
    <row r="19" spans="1:7">
      <c r="A19" s="94" t="s">
        <v>452</v>
      </c>
      <c r="B19" s="89">
        <f>ROUND(B17*4*0.133,2)</f>
        <v>7.45</v>
      </c>
      <c r="C19" s="90" t="s">
        <v>30</v>
      </c>
      <c r="D19" s="91">
        <v>48</v>
      </c>
      <c r="E19" s="95">
        <f t="shared" si="0"/>
        <v>357.6</v>
      </c>
      <c r="F19" s="96"/>
      <c r="G19" s="94"/>
    </row>
    <row r="20" spans="1:7">
      <c r="A20" s="94" t="s">
        <v>453</v>
      </c>
      <c r="B20" s="89">
        <v>2</v>
      </c>
      <c r="C20" s="90" t="s">
        <v>454</v>
      </c>
      <c r="D20" s="91">
        <v>95</v>
      </c>
      <c r="E20" s="95">
        <f t="shared" si="0"/>
        <v>190</v>
      </c>
      <c r="F20" s="96"/>
      <c r="G20" s="94"/>
    </row>
    <row r="21" spans="1:7">
      <c r="A21" s="94" t="s">
        <v>455</v>
      </c>
      <c r="B21" s="89">
        <v>1</v>
      </c>
      <c r="C21" s="90" t="s">
        <v>12</v>
      </c>
      <c r="D21" s="91">
        <v>80</v>
      </c>
      <c r="E21" s="95">
        <f t="shared" si="0"/>
        <v>80</v>
      </c>
      <c r="F21" s="96"/>
      <c r="G21" s="94"/>
    </row>
    <row r="22" spans="1:7">
      <c r="A22" s="94" t="s">
        <v>456</v>
      </c>
      <c r="B22" s="89">
        <v>1</v>
      </c>
      <c r="C22" s="90" t="s">
        <v>12</v>
      </c>
      <c r="D22" s="91">
        <v>43</v>
      </c>
      <c r="E22" s="95">
        <f t="shared" si="0"/>
        <v>43</v>
      </c>
      <c r="F22" s="96"/>
      <c r="G22" s="94"/>
    </row>
    <row r="23" spans="1:7">
      <c r="A23" s="94" t="s">
        <v>457</v>
      </c>
      <c r="B23" s="89">
        <v>1</v>
      </c>
      <c r="C23" s="90" t="s">
        <v>12</v>
      </c>
      <c r="D23" s="91">
        <v>580</v>
      </c>
      <c r="E23" s="95">
        <f t="shared" si="0"/>
        <v>580</v>
      </c>
      <c r="F23" s="96"/>
      <c r="G23" s="94"/>
    </row>
    <row r="24" spans="1:7">
      <c r="A24" s="94" t="s">
        <v>458</v>
      </c>
      <c r="B24" s="89">
        <v>2</v>
      </c>
      <c r="C24" s="90" t="s">
        <v>12</v>
      </c>
      <c r="D24" s="91">
        <v>1800</v>
      </c>
      <c r="E24" s="95">
        <f t="shared" si="0"/>
        <v>3600</v>
      </c>
      <c r="F24" s="96"/>
      <c r="G24" s="94"/>
    </row>
    <row r="25" spans="1:7">
      <c r="A25" s="94" t="s">
        <v>459</v>
      </c>
      <c r="B25" s="89">
        <v>2</v>
      </c>
      <c r="C25" s="90" t="s">
        <v>12</v>
      </c>
      <c r="D25" s="91">
        <v>1600</v>
      </c>
      <c r="E25" s="95">
        <f t="shared" si="0"/>
        <v>3200</v>
      </c>
      <c r="F25" s="96"/>
      <c r="G25" s="94"/>
    </row>
    <row r="26" spans="1:7">
      <c r="A26" s="94" t="s">
        <v>460</v>
      </c>
      <c r="B26" s="89">
        <v>1</v>
      </c>
      <c r="C26" s="90" t="s">
        <v>12</v>
      </c>
      <c r="D26" s="91">
        <v>2200</v>
      </c>
      <c r="E26" s="95">
        <f t="shared" si="0"/>
        <v>2200</v>
      </c>
      <c r="F26" s="96"/>
      <c r="G26" s="94"/>
    </row>
    <row r="27" spans="1:7">
      <c r="A27" s="94" t="s">
        <v>461</v>
      </c>
      <c r="B27" s="97">
        <v>14</v>
      </c>
      <c r="C27" s="90" t="s">
        <v>12</v>
      </c>
      <c r="D27" s="91">
        <v>16.600000000000001</v>
      </c>
      <c r="E27" s="95">
        <f t="shared" si="0"/>
        <v>232.4</v>
      </c>
      <c r="F27" s="96"/>
      <c r="G27" s="94"/>
    </row>
    <row r="28" spans="1:7">
      <c r="A28" s="94" t="s">
        <v>462</v>
      </c>
      <c r="B28" s="97">
        <v>2</v>
      </c>
      <c r="C28" s="90" t="s">
        <v>463</v>
      </c>
      <c r="D28" s="91">
        <v>1091</v>
      </c>
      <c r="E28" s="95">
        <f t="shared" si="0"/>
        <v>2182</v>
      </c>
      <c r="F28" s="96"/>
      <c r="G28" s="94"/>
    </row>
    <row r="29" spans="1:7">
      <c r="A29" s="88" t="s">
        <v>464</v>
      </c>
      <c r="B29" s="89">
        <v>2</v>
      </c>
      <c r="C29" s="90" t="s">
        <v>463</v>
      </c>
      <c r="D29" s="91">
        <v>736.64</v>
      </c>
      <c r="E29" s="92">
        <f>ROUND(B29*D29,2)</f>
        <v>1473.28</v>
      </c>
      <c r="F29" s="93"/>
      <c r="G29" s="88"/>
    </row>
    <row r="30" spans="1:7">
      <c r="A30" s="94"/>
      <c r="B30" s="89"/>
      <c r="C30" s="90"/>
      <c r="D30" s="91" t="s">
        <v>437</v>
      </c>
      <c r="E30" s="95">
        <f>SUM(E14:E29)</f>
        <v>29557.989999999998</v>
      </c>
      <c r="F30" s="96"/>
      <c r="G30" s="94"/>
    </row>
    <row r="31" spans="1:7">
      <c r="A31" s="94"/>
      <c r="B31" s="89"/>
      <c r="C31" s="90"/>
      <c r="D31" s="91" t="s">
        <v>39</v>
      </c>
      <c r="E31" s="95">
        <f>ROUND(E30/B8,2)</f>
        <v>1654.98</v>
      </c>
      <c r="F31" s="96"/>
      <c r="G31" s="9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8"/>
  <sheetViews>
    <sheetView topLeftCell="A55" workbookViewId="0">
      <selection activeCell="A11" sqref="A11"/>
    </sheetView>
  </sheetViews>
  <sheetFormatPr baseColWidth="10" defaultColWidth="11.42578125" defaultRowHeight="15"/>
  <cols>
    <col min="1" max="1" width="48.85546875" style="70" customWidth="1"/>
    <col min="2" max="16384" width="11.42578125" style="70"/>
  </cols>
  <sheetData>
    <row r="3" spans="1:5" ht="36" customHeight="1">
      <c r="A3" s="98" t="s">
        <v>101</v>
      </c>
      <c r="B3" s="573" t="s">
        <v>102</v>
      </c>
      <c r="C3" s="573"/>
      <c r="D3" s="573"/>
      <c r="E3" s="99">
        <f>3*0.3</f>
        <v>0.89999999999999991</v>
      </c>
    </row>
    <row r="4" spans="1:5">
      <c r="A4" s="100" t="s">
        <v>103</v>
      </c>
      <c r="B4" s="101">
        <v>1</v>
      </c>
      <c r="C4" s="101" t="s">
        <v>11</v>
      </c>
      <c r="D4" s="102">
        <f>140*1.3</f>
        <v>182</v>
      </c>
      <c r="E4" s="102">
        <f>+B4*D4</f>
        <v>182</v>
      </c>
    </row>
    <row r="5" spans="1:5">
      <c r="A5" s="100" t="s">
        <v>104</v>
      </c>
      <c r="B5" s="101">
        <v>1</v>
      </c>
      <c r="C5" s="101" t="s">
        <v>11</v>
      </c>
      <c r="D5" s="102">
        <v>35</v>
      </c>
      <c r="E5" s="102">
        <f t="shared" ref="E5:E7" si="0">+B5*D5</f>
        <v>35</v>
      </c>
    </row>
    <row r="6" spans="1:5">
      <c r="A6" s="100" t="s">
        <v>105</v>
      </c>
      <c r="B6" s="101">
        <f>1/10</f>
        <v>0.1</v>
      </c>
      <c r="C6" s="101" t="s">
        <v>15</v>
      </c>
      <c r="D6" s="102">
        <v>40</v>
      </c>
      <c r="E6" s="102">
        <f t="shared" si="0"/>
        <v>4</v>
      </c>
    </row>
    <row r="7" spans="1:5">
      <c r="A7" s="100" t="s">
        <v>106</v>
      </c>
      <c r="B7" s="101">
        <v>1</v>
      </c>
      <c r="C7" s="101" t="s">
        <v>29</v>
      </c>
      <c r="D7" s="102">
        <v>5</v>
      </c>
      <c r="E7" s="102">
        <f t="shared" si="0"/>
        <v>5</v>
      </c>
    </row>
    <row r="8" spans="1:5">
      <c r="A8" s="100" t="s">
        <v>107</v>
      </c>
      <c r="B8" s="103">
        <f>SUM(E4:E7)</f>
        <v>226</v>
      </c>
      <c r="C8" s="104" t="s">
        <v>2</v>
      </c>
      <c r="D8" s="105">
        <v>5.0000000000000001E-3</v>
      </c>
      <c r="E8" s="102"/>
    </row>
    <row r="9" spans="1:5">
      <c r="A9" s="106"/>
      <c r="B9" s="107"/>
      <c r="C9" s="108" t="s">
        <v>89</v>
      </c>
      <c r="D9" s="108"/>
      <c r="E9" s="109">
        <f>SUM(E4:E8)</f>
        <v>226</v>
      </c>
    </row>
    <row r="12" spans="1:5" ht="25.5">
      <c r="A12" s="110" t="s">
        <v>92</v>
      </c>
      <c r="B12" s="111"/>
      <c r="C12" s="112"/>
      <c r="D12" s="112"/>
      <c r="E12" s="112"/>
    </row>
    <row r="13" spans="1:5">
      <c r="A13" s="100" t="s">
        <v>93</v>
      </c>
      <c r="B13" s="101">
        <v>0.2</v>
      </c>
      <c r="C13" s="113" t="s">
        <v>25</v>
      </c>
      <c r="D13" s="114">
        <f>900</f>
        <v>900</v>
      </c>
      <c r="E13" s="102"/>
    </row>
    <row r="14" spans="1:5">
      <c r="A14" s="100" t="s">
        <v>94</v>
      </c>
      <c r="B14" s="101">
        <v>0.2</v>
      </c>
      <c r="C14" s="113" t="s">
        <v>25</v>
      </c>
      <c r="D14" s="114">
        <v>400</v>
      </c>
      <c r="E14" s="102"/>
    </row>
    <row r="15" spans="1:5">
      <c r="A15" s="100" t="s">
        <v>95</v>
      </c>
      <c r="B15" s="101">
        <v>0.2</v>
      </c>
      <c r="C15" s="113" t="s">
        <v>25</v>
      </c>
      <c r="D15" s="114">
        <v>100</v>
      </c>
      <c r="E15" s="102"/>
    </row>
    <row r="16" spans="1:5">
      <c r="A16" s="100" t="s">
        <v>96</v>
      </c>
      <c r="B16" s="101">
        <v>1</v>
      </c>
      <c r="C16" s="113" t="s">
        <v>11</v>
      </c>
      <c r="D16" s="114">
        <v>85</v>
      </c>
      <c r="E16" s="102">
        <f t="shared" ref="E16:E17" si="1">ROUND(B16*D16,2)</f>
        <v>85</v>
      </c>
    </row>
    <row r="17" spans="1:6">
      <c r="A17" s="100" t="s">
        <v>97</v>
      </c>
      <c r="B17" s="101">
        <v>1</v>
      </c>
      <c r="C17" s="113" t="s">
        <v>11</v>
      </c>
      <c r="D17" s="114">
        <v>45</v>
      </c>
      <c r="E17" s="102">
        <f t="shared" si="1"/>
        <v>45</v>
      </c>
    </row>
    <row r="18" spans="1:6">
      <c r="A18" s="100" t="s">
        <v>113</v>
      </c>
      <c r="B18" s="103">
        <f>SUM(E13:E17)</f>
        <v>130</v>
      </c>
      <c r="C18" s="104" t="s">
        <v>2</v>
      </c>
      <c r="D18" s="105">
        <v>5.0000000000000001E-3</v>
      </c>
      <c r="E18" s="102"/>
    </row>
    <row r="19" spans="1:6">
      <c r="A19" s="112"/>
      <c r="B19" s="115"/>
      <c r="C19" s="112"/>
      <c r="D19" s="6" t="s">
        <v>98</v>
      </c>
      <c r="E19" s="109">
        <f>SUM(E13:E18)</f>
        <v>130</v>
      </c>
    </row>
    <row r="21" spans="1:6">
      <c r="A21" s="116" t="s">
        <v>82</v>
      </c>
      <c r="B21" s="117"/>
      <c r="C21" s="118"/>
      <c r="D21" s="119" t="s">
        <v>67</v>
      </c>
      <c r="E21" s="120" t="s">
        <v>66</v>
      </c>
      <c r="F21" s="109">
        <f>F33/D22</f>
        <v>9116.7476190476173</v>
      </c>
    </row>
    <row r="22" spans="1:6">
      <c r="A22" s="116"/>
      <c r="B22" s="117"/>
      <c r="C22" s="118" t="s">
        <v>68</v>
      </c>
      <c r="D22" s="121">
        <f>1*2.1</f>
        <v>2.1</v>
      </c>
      <c r="E22" s="122">
        <f>D22*10.76</f>
        <v>22.596</v>
      </c>
      <c r="F22" s="109"/>
    </row>
    <row r="23" spans="1:6">
      <c r="A23" s="123" t="s">
        <v>79</v>
      </c>
      <c r="B23" s="117"/>
      <c r="C23" s="124">
        <v>2</v>
      </c>
      <c r="D23" s="119" t="s">
        <v>12</v>
      </c>
      <c r="E23" s="120">
        <v>850</v>
      </c>
      <c r="F23" s="102">
        <f t="shared" ref="F23:F32" si="2">ROUND(C23*E23,2)</f>
        <v>1700</v>
      </c>
    </row>
    <row r="24" spans="1:6">
      <c r="A24" s="123" t="s">
        <v>69</v>
      </c>
      <c r="B24" s="117"/>
      <c r="C24" s="124">
        <v>2</v>
      </c>
      <c r="D24" s="119" t="s">
        <v>12</v>
      </c>
      <c r="E24" s="120">
        <v>850</v>
      </c>
      <c r="F24" s="102">
        <f t="shared" si="2"/>
        <v>1700</v>
      </c>
    </row>
    <row r="25" spans="1:6">
      <c r="A25" s="123" t="s">
        <v>80</v>
      </c>
      <c r="B25" s="117"/>
      <c r="C25" s="118">
        <v>1.5</v>
      </c>
      <c r="D25" s="119" t="s">
        <v>81</v>
      </c>
      <c r="E25" s="120">
        <v>1200</v>
      </c>
      <c r="F25" s="102">
        <f t="shared" si="2"/>
        <v>1800</v>
      </c>
    </row>
    <row r="26" spans="1:6">
      <c r="A26" s="123" t="s">
        <v>77</v>
      </c>
      <c r="B26" s="117"/>
      <c r="C26" s="118">
        <v>12.166666666666666</v>
      </c>
      <c r="D26" s="119" t="s">
        <v>12</v>
      </c>
      <c r="E26" s="120">
        <v>748</v>
      </c>
      <c r="F26" s="102">
        <f>ROUND(C26*E26,2)</f>
        <v>9100.67</v>
      </c>
    </row>
    <row r="27" spans="1:6">
      <c r="A27" s="123" t="s">
        <v>465</v>
      </c>
      <c r="B27" s="125"/>
      <c r="C27" s="126">
        <v>1</v>
      </c>
      <c r="D27" s="118" t="s">
        <v>12</v>
      </c>
      <c r="E27" s="127">
        <v>1000</v>
      </c>
      <c r="F27" s="102">
        <f t="shared" si="2"/>
        <v>1000</v>
      </c>
    </row>
    <row r="28" spans="1:6">
      <c r="A28" s="123" t="s">
        <v>70</v>
      </c>
      <c r="B28" s="117"/>
      <c r="C28" s="118">
        <v>4</v>
      </c>
      <c r="D28" s="119" t="s">
        <v>15</v>
      </c>
      <c r="E28" s="120">
        <v>55</v>
      </c>
      <c r="F28" s="102">
        <f t="shared" si="2"/>
        <v>220</v>
      </c>
    </row>
    <row r="29" spans="1:6">
      <c r="A29" s="123" t="s">
        <v>71</v>
      </c>
      <c r="B29" s="117"/>
      <c r="C29" s="118">
        <v>1</v>
      </c>
      <c r="D29" s="119" t="s">
        <v>32</v>
      </c>
      <c r="E29" s="120">
        <v>125</v>
      </c>
      <c r="F29" s="102">
        <f t="shared" si="2"/>
        <v>125</v>
      </c>
    </row>
    <row r="30" spans="1:6">
      <c r="A30" s="123" t="s">
        <v>72</v>
      </c>
      <c r="B30" s="117"/>
      <c r="C30" s="118">
        <v>3</v>
      </c>
      <c r="D30" s="119" t="s">
        <v>29</v>
      </c>
      <c r="E30" s="120">
        <v>125</v>
      </c>
      <c r="F30" s="102">
        <f t="shared" si="2"/>
        <v>375</v>
      </c>
    </row>
    <row r="31" spans="1:6">
      <c r="A31" s="123" t="s">
        <v>73</v>
      </c>
      <c r="B31" s="117"/>
      <c r="C31" s="118">
        <v>2</v>
      </c>
      <c r="D31" s="119" t="s">
        <v>18</v>
      </c>
      <c r="E31" s="120">
        <v>150</v>
      </c>
      <c r="F31" s="102">
        <f t="shared" si="2"/>
        <v>300</v>
      </c>
    </row>
    <row r="32" spans="1:6">
      <c r="A32" s="123" t="s">
        <v>74</v>
      </c>
      <c r="B32" s="117"/>
      <c r="C32" s="118">
        <v>22.596</v>
      </c>
      <c r="D32" s="119" t="s">
        <v>75</v>
      </c>
      <c r="E32" s="120">
        <v>125</v>
      </c>
      <c r="F32" s="102">
        <f t="shared" si="2"/>
        <v>2824.5</v>
      </c>
    </row>
    <row r="33" spans="1:6">
      <c r="A33" s="116"/>
      <c r="B33" s="117"/>
      <c r="C33" s="118"/>
      <c r="D33" s="128" t="s">
        <v>76</v>
      </c>
      <c r="E33" s="109" t="s">
        <v>66</v>
      </c>
      <c r="F33" s="109">
        <f>SUM(F23:F32)</f>
        <v>19145.169999999998</v>
      </c>
    </row>
    <row r="34" spans="1:6">
      <c r="A34" s="116"/>
      <c r="B34" s="117"/>
      <c r="C34" s="118"/>
      <c r="D34" s="119"/>
      <c r="E34" s="120"/>
      <c r="F34" s="109"/>
    </row>
    <row r="35" spans="1:6">
      <c r="A35" s="116" t="s">
        <v>84</v>
      </c>
      <c r="B35" s="117"/>
      <c r="C35" s="118"/>
      <c r="D35" s="128" t="s">
        <v>67</v>
      </c>
      <c r="E35" s="109" t="s">
        <v>66</v>
      </c>
      <c r="F35" s="109">
        <f>F41/D36</f>
        <v>974.97500000000002</v>
      </c>
    </row>
    <row r="36" spans="1:6">
      <c r="A36" s="116"/>
      <c r="B36" s="117"/>
      <c r="C36" s="118" t="s">
        <v>68</v>
      </c>
      <c r="D36" s="121">
        <f>1*1.2</f>
        <v>1.2</v>
      </c>
      <c r="E36" s="109">
        <f>D36*10.76</f>
        <v>12.911999999999999</v>
      </c>
      <c r="F36" s="109" t="s">
        <v>10</v>
      </c>
    </row>
    <row r="37" spans="1:6">
      <c r="A37" s="123" t="s">
        <v>85</v>
      </c>
      <c r="B37" s="117"/>
      <c r="C37" s="124">
        <v>1</v>
      </c>
      <c r="D37" s="119" t="s">
        <v>11</v>
      </c>
      <c r="E37" s="120">
        <v>479.16666666666669</v>
      </c>
      <c r="F37" s="102">
        <f t="shared" ref="F37:F40" si="3">ROUND(C37*E37,2)</f>
        <v>479.17</v>
      </c>
    </row>
    <row r="38" spans="1:6">
      <c r="A38" s="123" t="s">
        <v>70</v>
      </c>
      <c r="B38" s="117"/>
      <c r="C38" s="124">
        <v>2</v>
      </c>
      <c r="D38" s="119" t="s">
        <v>15</v>
      </c>
      <c r="E38" s="120">
        <v>55</v>
      </c>
      <c r="F38" s="102">
        <f t="shared" si="3"/>
        <v>110</v>
      </c>
    </row>
    <row r="39" spans="1:6">
      <c r="A39" s="123" t="s">
        <v>71</v>
      </c>
      <c r="B39" s="117"/>
      <c r="C39" s="124">
        <v>1</v>
      </c>
      <c r="D39" s="119" t="s">
        <v>32</v>
      </c>
      <c r="E39" s="120">
        <v>150</v>
      </c>
      <c r="F39" s="102">
        <f t="shared" si="3"/>
        <v>150</v>
      </c>
    </row>
    <row r="40" spans="1:6">
      <c r="A40" s="123" t="s">
        <v>74</v>
      </c>
      <c r="B40" s="117"/>
      <c r="C40" s="129">
        <v>1.2</v>
      </c>
      <c r="D40" s="119" t="s">
        <v>11</v>
      </c>
      <c r="E40" s="120">
        <v>359</v>
      </c>
      <c r="F40" s="102">
        <f t="shared" si="3"/>
        <v>430.8</v>
      </c>
    </row>
    <row r="41" spans="1:6">
      <c r="A41" s="116"/>
      <c r="B41" s="117"/>
      <c r="C41" s="118"/>
      <c r="D41" s="128" t="s">
        <v>76</v>
      </c>
      <c r="E41" s="109" t="s">
        <v>66</v>
      </c>
      <c r="F41" s="109">
        <f>SUM(F37:F40)</f>
        <v>1169.97</v>
      </c>
    </row>
    <row r="42" spans="1:6">
      <c r="A42" s="116"/>
      <c r="B42" s="117"/>
      <c r="C42" s="118"/>
      <c r="D42" s="119"/>
      <c r="E42" s="120"/>
      <c r="F42" s="109"/>
    </row>
    <row r="43" spans="1:6">
      <c r="A43" s="574" t="s">
        <v>83</v>
      </c>
      <c r="B43" s="115"/>
      <c r="C43" s="130"/>
      <c r="D43" s="6" t="s">
        <v>67</v>
      </c>
      <c r="E43" s="6" t="s">
        <v>66</v>
      </c>
      <c r="F43" s="109"/>
    </row>
    <row r="44" spans="1:6">
      <c r="A44" s="574"/>
      <c r="B44" s="115"/>
      <c r="C44" s="111" t="s">
        <v>68</v>
      </c>
      <c r="D44" s="121">
        <f>1*2.1</f>
        <v>2.1</v>
      </c>
      <c r="E44" s="122">
        <f>D44*10.76</f>
        <v>22.596</v>
      </c>
      <c r="F44" s="109">
        <f>E54/D44</f>
        <v>8999.4285714285706</v>
      </c>
    </row>
    <row r="45" spans="1:6">
      <c r="A45" s="123" t="s">
        <v>78</v>
      </c>
      <c r="B45" s="125">
        <v>2</v>
      </c>
      <c r="C45" s="118" t="s">
        <v>12</v>
      </c>
      <c r="D45" s="127">
        <v>835</v>
      </c>
      <c r="E45" s="120">
        <f>B45*D45</f>
        <v>1670</v>
      </c>
      <c r="F45" s="109"/>
    </row>
    <row r="46" spans="1:6">
      <c r="A46" s="123" t="s">
        <v>78</v>
      </c>
      <c r="B46" s="125">
        <v>2</v>
      </c>
      <c r="C46" s="118" t="s">
        <v>12</v>
      </c>
      <c r="D46" s="127">
        <v>835</v>
      </c>
      <c r="E46" s="120">
        <f t="shared" ref="E46:E53" si="4">B46*D46</f>
        <v>1670</v>
      </c>
      <c r="F46" s="109"/>
    </row>
    <row r="47" spans="1:6">
      <c r="A47" s="123" t="s">
        <v>77</v>
      </c>
      <c r="B47" s="125">
        <f>(2.1/0.1*1/3)+(1/0.1*1/6)</f>
        <v>8.6666666666666661</v>
      </c>
      <c r="C47" s="118" t="s">
        <v>12</v>
      </c>
      <c r="D47" s="127">
        <v>780</v>
      </c>
      <c r="E47" s="120">
        <f t="shared" si="4"/>
        <v>6759.9999999999991</v>
      </c>
      <c r="F47" s="131"/>
    </row>
    <row r="48" spans="1:6">
      <c r="A48" s="123" t="s">
        <v>465</v>
      </c>
      <c r="B48" s="125">
        <v>1</v>
      </c>
      <c r="C48" s="118" t="s">
        <v>12</v>
      </c>
      <c r="D48" s="127">
        <v>1000</v>
      </c>
      <c r="E48" s="120">
        <f t="shared" si="4"/>
        <v>1000</v>
      </c>
      <c r="F48" s="131"/>
    </row>
    <row r="49" spans="1:6">
      <c r="A49" s="123" t="s">
        <v>70</v>
      </c>
      <c r="B49" s="125">
        <v>4</v>
      </c>
      <c r="C49" s="118" t="s">
        <v>15</v>
      </c>
      <c r="D49" s="127">
        <v>55</v>
      </c>
      <c r="E49" s="120">
        <f t="shared" si="4"/>
        <v>220</v>
      </c>
      <c r="F49" s="109"/>
    </row>
    <row r="50" spans="1:6">
      <c r="A50" s="123" t="s">
        <v>71</v>
      </c>
      <c r="B50" s="125">
        <v>1</v>
      </c>
      <c r="C50" s="118" t="s">
        <v>32</v>
      </c>
      <c r="D50" s="127">
        <v>125</v>
      </c>
      <c r="E50" s="120">
        <f t="shared" si="4"/>
        <v>125</v>
      </c>
      <c r="F50" s="109"/>
    </row>
    <row r="51" spans="1:6">
      <c r="A51" s="123" t="s">
        <v>72</v>
      </c>
      <c r="B51" s="125">
        <v>3</v>
      </c>
      <c r="C51" s="118" t="s">
        <v>29</v>
      </c>
      <c r="D51" s="127">
        <v>125</v>
      </c>
      <c r="E51" s="120">
        <f t="shared" si="4"/>
        <v>375</v>
      </c>
      <c r="F51" s="109"/>
    </row>
    <row r="52" spans="1:6" ht="25.5">
      <c r="A52" s="132" t="s">
        <v>73</v>
      </c>
      <c r="B52" s="133">
        <v>2</v>
      </c>
      <c r="C52" s="134" t="s">
        <v>18</v>
      </c>
      <c r="D52" s="135">
        <v>150</v>
      </c>
      <c r="E52" s="102">
        <f t="shared" si="4"/>
        <v>300</v>
      </c>
      <c r="F52" s="109"/>
    </row>
    <row r="53" spans="1:6">
      <c r="A53" s="123" t="s">
        <v>74</v>
      </c>
      <c r="B53" s="125">
        <f>+E44</f>
        <v>22.596</v>
      </c>
      <c r="C53" s="118" t="s">
        <v>75</v>
      </c>
      <c r="D53" s="127">
        <v>300</v>
      </c>
      <c r="E53" s="120">
        <f t="shared" si="4"/>
        <v>6778.8</v>
      </c>
      <c r="F53" s="109"/>
    </row>
    <row r="54" spans="1:6">
      <c r="A54" s="106"/>
      <c r="B54" s="115"/>
      <c r="C54" s="6" t="s">
        <v>76</v>
      </c>
      <c r="D54" s="6" t="s">
        <v>66</v>
      </c>
      <c r="E54" s="109">
        <f>SUM(E45:E53)</f>
        <v>18898.8</v>
      </c>
      <c r="F54" s="109"/>
    </row>
    <row r="55" spans="1:6">
      <c r="A55" s="109"/>
      <c r="B55" s="109"/>
      <c r="C55" s="109"/>
      <c r="D55" s="109"/>
      <c r="E55" s="109"/>
      <c r="F55" s="109"/>
    </row>
    <row r="56" spans="1:6">
      <c r="A56" s="109"/>
      <c r="B56" s="109"/>
      <c r="C56" s="109"/>
      <c r="D56" s="109"/>
      <c r="E56" s="109"/>
      <c r="F56" s="109"/>
    </row>
    <row r="57" spans="1:6">
      <c r="A57" s="574" t="s">
        <v>466</v>
      </c>
      <c r="B57" s="109"/>
      <c r="C57" s="109"/>
      <c r="D57" s="109" t="s">
        <v>467</v>
      </c>
      <c r="E57" s="109"/>
      <c r="F57" s="109"/>
    </row>
    <row r="58" spans="1:6">
      <c r="A58" s="574"/>
      <c r="B58" s="109"/>
      <c r="C58" s="109"/>
      <c r="D58" s="575">
        <f>E54-E48-E51-E52</f>
        <v>17223.8</v>
      </c>
      <c r="E58" s="575"/>
      <c r="F58" s="109"/>
    </row>
    <row r="59" spans="1:6">
      <c r="A59" s="109"/>
      <c r="B59" s="109"/>
      <c r="C59" s="109" t="s">
        <v>468</v>
      </c>
      <c r="D59" s="572">
        <f>D58/D44</f>
        <v>8201.8095238095229</v>
      </c>
      <c r="E59" s="572"/>
      <c r="F59" s="109"/>
    </row>
    <row r="60" spans="1:6">
      <c r="A60" s="136">
        <f>F35+F44</f>
        <v>9974.403571428571</v>
      </c>
      <c r="B60" s="109"/>
      <c r="C60" s="109"/>
      <c r="D60" s="109" t="s">
        <v>469</v>
      </c>
      <c r="E60" s="109"/>
      <c r="F60" s="109"/>
    </row>
    <row r="61" spans="1:6">
      <c r="A61" s="109"/>
      <c r="B61" s="109"/>
      <c r="C61" s="109"/>
      <c r="D61" s="575">
        <f>F33-F27-F30-F31</f>
        <v>17470.169999999998</v>
      </c>
      <c r="E61" s="575"/>
      <c r="F61" s="109"/>
    </row>
    <row r="62" spans="1:6">
      <c r="A62" s="109"/>
      <c r="B62" s="109"/>
      <c r="C62" s="109" t="s">
        <v>468</v>
      </c>
      <c r="D62" s="572">
        <f>D61/D22</f>
        <v>8319.1285714285696</v>
      </c>
      <c r="E62" s="572"/>
      <c r="F62" s="109"/>
    </row>
    <row r="65" spans="1:5">
      <c r="A65" s="87" t="s">
        <v>114</v>
      </c>
    </row>
    <row r="66" spans="1:5">
      <c r="A66" s="70" t="s">
        <v>115</v>
      </c>
      <c r="B66" s="70">
        <v>0.25</v>
      </c>
      <c r="C66" s="70" t="s">
        <v>17</v>
      </c>
      <c r="D66" s="70">
        <v>450</v>
      </c>
      <c r="E66" s="120">
        <f t="shared" ref="E66:E69" si="5">B66*D66</f>
        <v>112.5</v>
      </c>
    </row>
    <row r="67" spans="1:5">
      <c r="A67" s="70" t="s">
        <v>116</v>
      </c>
      <c r="B67" s="70">
        <v>1</v>
      </c>
      <c r="C67" s="70" t="s">
        <v>32</v>
      </c>
      <c r="D67" s="70">
        <v>100</v>
      </c>
      <c r="E67" s="120">
        <f t="shared" si="5"/>
        <v>100</v>
      </c>
    </row>
    <row r="68" spans="1:5">
      <c r="A68" s="70" t="s">
        <v>117</v>
      </c>
      <c r="B68" s="70">
        <v>0.42</v>
      </c>
      <c r="C68" s="70" t="s">
        <v>15</v>
      </c>
      <c r="D68" s="70">
        <v>40</v>
      </c>
      <c r="E68" s="120">
        <f t="shared" si="5"/>
        <v>16.8</v>
      </c>
    </row>
    <row r="69" spans="1:5">
      <c r="A69" s="70" t="s">
        <v>118</v>
      </c>
      <c r="B69" s="70">
        <v>1</v>
      </c>
      <c r="C69" s="70" t="s">
        <v>36</v>
      </c>
      <c r="D69" s="70">
        <v>234</v>
      </c>
      <c r="E69" s="120">
        <f t="shared" si="5"/>
        <v>234</v>
      </c>
    </row>
    <row r="70" spans="1:5">
      <c r="C70" s="87" t="s">
        <v>65</v>
      </c>
      <c r="D70" s="70" t="s">
        <v>66</v>
      </c>
      <c r="E70" s="137">
        <f>SUM(E66:E69)</f>
        <v>463.3</v>
      </c>
    </row>
    <row r="72" spans="1:5">
      <c r="A72" s="87" t="s">
        <v>470</v>
      </c>
    </row>
    <row r="73" spans="1:5">
      <c r="A73" s="70" t="s">
        <v>50</v>
      </c>
      <c r="B73" s="70">
        <v>0.78</v>
      </c>
      <c r="C73" s="70" t="s">
        <v>12</v>
      </c>
      <c r="D73" s="70">
        <v>35</v>
      </c>
      <c r="E73" s="120">
        <f t="shared" ref="E73:E87" si="6">B73*D73</f>
        <v>27.3</v>
      </c>
    </row>
    <row r="74" spans="1:5">
      <c r="A74" s="70" t="s">
        <v>51</v>
      </c>
      <c r="B74" s="70">
        <v>1</v>
      </c>
      <c r="C74" s="70" t="s">
        <v>36</v>
      </c>
      <c r="D74" s="70">
        <v>463.3</v>
      </c>
      <c r="E74" s="120">
        <f t="shared" si="6"/>
        <v>463.3</v>
      </c>
    </row>
    <row r="75" spans="1:5">
      <c r="A75" s="70" t="s">
        <v>52</v>
      </c>
      <c r="B75" s="70">
        <v>0.05</v>
      </c>
      <c r="C75" s="70" t="s">
        <v>30</v>
      </c>
      <c r="D75" s="70">
        <v>40</v>
      </c>
      <c r="E75" s="120">
        <f t="shared" si="6"/>
        <v>2</v>
      </c>
    </row>
    <row r="76" spans="1:5">
      <c r="A76" s="70" t="s">
        <v>53</v>
      </c>
      <c r="B76" s="70">
        <v>0.08</v>
      </c>
      <c r="C76" s="70" t="s">
        <v>12</v>
      </c>
      <c r="D76" s="70">
        <v>122</v>
      </c>
      <c r="E76" s="120">
        <f t="shared" si="6"/>
        <v>9.76</v>
      </c>
    </row>
    <row r="77" spans="1:5">
      <c r="A77" s="70" t="s">
        <v>54</v>
      </c>
      <c r="B77" s="70">
        <v>0.06</v>
      </c>
      <c r="C77" s="70" t="s">
        <v>12</v>
      </c>
      <c r="D77" s="70">
        <v>60</v>
      </c>
      <c r="E77" s="120">
        <f t="shared" si="6"/>
        <v>3.5999999999999996</v>
      </c>
    </row>
    <row r="78" spans="1:5">
      <c r="A78" s="70" t="s">
        <v>55</v>
      </c>
      <c r="B78" s="70">
        <v>0.26</v>
      </c>
      <c r="C78" s="70" t="s">
        <v>12</v>
      </c>
      <c r="D78" s="70">
        <v>35</v>
      </c>
      <c r="E78" s="120">
        <f t="shared" si="6"/>
        <v>9.1</v>
      </c>
    </row>
    <row r="79" spans="1:5">
      <c r="A79" s="70" t="s">
        <v>56</v>
      </c>
      <c r="B79" s="70">
        <v>0.05</v>
      </c>
      <c r="C79" s="70" t="s">
        <v>12</v>
      </c>
      <c r="D79" s="70">
        <v>65</v>
      </c>
      <c r="E79" s="120">
        <f t="shared" si="6"/>
        <v>3.25</v>
      </c>
    </row>
    <row r="80" spans="1:5">
      <c r="A80" s="70" t="s">
        <v>471</v>
      </c>
      <c r="B80" s="70">
        <v>8.0000000000000002E-3</v>
      </c>
      <c r="C80" s="70" t="s">
        <v>25</v>
      </c>
      <c r="D80" s="70">
        <v>4800.63</v>
      </c>
      <c r="E80" s="120">
        <f t="shared" si="6"/>
        <v>38.40504</v>
      </c>
    </row>
    <row r="81" spans="1:5">
      <c r="A81" s="70" t="s">
        <v>57</v>
      </c>
      <c r="B81" s="70">
        <v>0.11</v>
      </c>
      <c r="C81" s="70" t="s">
        <v>12</v>
      </c>
      <c r="D81" s="70">
        <v>5500</v>
      </c>
      <c r="E81" s="120">
        <f t="shared" si="6"/>
        <v>605</v>
      </c>
    </row>
    <row r="82" spans="1:5">
      <c r="A82" s="70" t="s">
        <v>58</v>
      </c>
      <c r="B82" s="70">
        <v>2</v>
      </c>
      <c r="C82" s="70" t="s">
        <v>59</v>
      </c>
      <c r="D82" s="70">
        <v>35.4</v>
      </c>
      <c r="E82" s="120">
        <f t="shared" si="6"/>
        <v>70.8</v>
      </c>
    </row>
    <row r="83" spans="1:5">
      <c r="A83" s="70" t="s">
        <v>60</v>
      </c>
      <c r="B83" s="70">
        <v>0.28000000000000003</v>
      </c>
      <c r="C83" s="70" t="s">
        <v>12</v>
      </c>
      <c r="D83" s="70">
        <v>160</v>
      </c>
      <c r="E83" s="120">
        <f t="shared" si="6"/>
        <v>44.800000000000004</v>
      </c>
    </row>
    <row r="84" spans="1:5">
      <c r="A84" s="70" t="s">
        <v>61</v>
      </c>
      <c r="B84" s="70">
        <v>0.2</v>
      </c>
      <c r="C84" s="70" t="s">
        <v>12</v>
      </c>
      <c r="D84" s="70">
        <v>60</v>
      </c>
      <c r="E84" s="120">
        <f t="shared" si="6"/>
        <v>12</v>
      </c>
    </row>
    <row r="85" spans="1:5">
      <c r="A85" s="70" t="s">
        <v>62</v>
      </c>
      <c r="B85" s="70">
        <v>0.18</v>
      </c>
      <c r="C85" s="70" t="s">
        <v>12</v>
      </c>
      <c r="D85" s="70">
        <v>975</v>
      </c>
      <c r="E85" s="120">
        <f t="shared" si="6"/>
        <v>175.5</v>
      </c>
    </row>
    <row r="86" spans="1:5">
      <c r="A86" s="70" t="s">
        <v>63</v>
      </c>
      <c r="B86" s="70">
        <v>0.16</v>
      </c>
      <c r="C86" s="70" t="s">
        <v>12</v>
      </c>
      <c r="D86" s="70">
        <v>875</v>
      </c>
      <c r="E86" s="120">
        <f t="shared" si="6"/>
        <v>140</v>
      </c>
    </row>
    <row r="87" spans="1:5">
      <c r="A87" s="70" t="s">
        <v>64</v>
      </c>
      <c r="B87" s="70">
        <v>1</v>
      </c>
      <c r="C87" s="70" t="s">
        <v>36</v>
      </c>
      <c r="D87" s="70">
        <v>500</v>
      </c>
      <c r="E87" s="120">
        <f t="shared" si="6"/>
        <v>500</v>
      </c>
    </row>
    <row r="88" spans="1:5">
      <c r="C88" s="87" t="s">
        <v>65</v>
      </c>
      <c r="D88" s="70" t="s">
        <v>66</v>
      </c>
      <c r="E88" s="138">
        <f>SUM(E73:E87)</f>
        <v>2104.81504</v>
      </c>
    </row>
  </sheetData>
  <mergeCells count="7">
    <mergeCell ref="D62:E62"/>
    <mergeCell ref="B3:D3"/>
    <mergeCell ref="A43:A44"/>
    <mergeCell ref="A57:A58"/>
    <mergeCell ref="D58:E58"/>
    <mergeCell ref="D59:E59"/>
    <mergeCell ref="D61:E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159"/>
  <sheetViews>
    <sheetView topLeftCell="A1019" zoomScale="80" zoomScaleNormal="80" workbookViewId="0">
      <selection activeCell="B1040" sqref="B1040:F1048"/>
    </sheetView>
  </sheetViews>
  <sheetFormatPr baseColWidth="10" defaultColWidth="11.42578125" defaultRowHeight="14.25"/>
  <cols>
    <col min="1" max="1" width="3.42578125" style="211" customWidth="1"/>
    <col min="2" max="2" width="66.7109375" style="211" bestFit="1" customWidth="1"/>
    <col min="3" max="3" width="11.42578125" style="211"/>
    <col min="4" max="4" width="11.42578125" style="430"/>
    <col min="5" max="5" width="12.7109375" style="211" bestFit="1" customWidth="1"/>
    <col min="6" max="6" width="16.140625" style="211" bestFit="1" customWidth="1"/>
    <col min="7" max="7" width="13.140625" style="211" customWidth="1"/>
    <col min="8" max="8" width="38.5703125" style="211" customWidth="1"/>
    <col min="9" max="9" width="38.85546875" style="211" customWidth="1"/>
    <col min="10" max="10" width="13.7109375" style="211" customWidth="1"/>
    <col min="11" max="11" width="9.28515625" style="430" customWidth="1"/>
    <col min="12" max="12" width="12.42578125" style="211" bestFit="1" customWidth="1"/>
    <col min="13" max="13" width="13" style="211" bestFit="1" customWidth="1"/>
    <col min="14" max="14" width="11.42578125" style="212"/>
    <col min="15" max="15" width="24" style="212" customWidth="1"/>
    <col min="16" max="16" width="30.85546875" style="212" customWidth="1"/>
    <col min="17" max="16384" width="11.42578125" style="212"/>
  </cols>
  <sheetData>
    <row r="5" spans="1:13" s="202" customFormat="1">
      <c r="A5" s="197"/>
      <c r="B5" s="198" t="s">
        <v>518</v>
      </c>
      <c r="C5" s="199"/>
      <c r="D5" s="426"/>
      <c r="E5" s="199"/>
      <c r="F5" s="200"/>
      <c r="G5" s="201"/>
      <c r="H5" s="201"/>
      <c r="I5" s="201"/>
      <c r="J5" s="201"/>
      <c r="K5" s="427"/>
      <c r="L5" s="201"/>
      <c r="M5" s="201"/>
    </row>
    <row r="6" spans="1:13" s="202" customFormat="1">
      <c r="A6" s="203"/>
      <c r="B6" s="201"/>
      <c r="C6" s="201"/>
      <c r="D6" s="427"/>
      <c r="E6" s="201"/>
      <c r="F6" s="204"/>
      <c r="G6" s="201"/>
      <c r="H6" s="201"/>
      <c r="I6" s="201"/>
      <c r="J6" s="201"/>
      <c r="K6" s="427"/>
      <c r="L6" s="201"/>
      <c r="M6" s="201"/>
    </row>
    <row r="7" spans="1:13" s="202" customFormat="1">
      <c r="A7" s="205"/>
      <c r="B7" s="206" t="s">
        <v>519</v>
      </c>
      <c r="C7" s="207">
        <v>9</v>
      </c>
      <c r="D7" s="428" t="s">
        <v>520</v>
      </c>
      <c r="E7" s="208">
        <f>2*30800</f>
        <v>61600</v>
      </c>
      <c r="F7" s="209">
        <f>+E7*C7</f>
        <v>554400</v>
      </c>
      <c r="G7" s="201"/>
      <c r="H7" s="201"/>
      <c r="I7" s="201"/>
      <c r="J7" s="201"/>
      <c r="K7" s="427"/>
      <c r="L7" s="201"/>
      <c r="M7" s="201"/>
    </row>
    <row r="8" spans="1:13" s="202" customFormat="1">
      <c r="A8" s="205"/>
      <c r="B8" s="210" t="s">
        <v>521</v>
      </c>
      <c r="C8" s="207">
        <v>9</v>
      </c>
      <c r="D8" s="428" t="s">
        <v>520</v>
      </c>
      <c r="E8" s="208">
        <f>2*22000</f>
        <v>44000</v>
      </c>
      <c r="F8" s="209">
        <f t="shared" ref="F8:F10" si="0">+C8*E8</f>
        <v>396000</v>
      </c>
      <c r="G8" s="201"/>
      <c r="H8" s="201"/>
      <c r="I8" s="201"/>
      <c r="J8" s="201"/>
      <c r="K8" s="427"/>
      <c r="L8" s="201"/>
      <c r="M8" s="201"/>
    </row>
    <row r="9" spans="1:13" s="202" customFormat="1">
      <c r="A9" s="205"/>
      <c r="B9" s="210" t="s">
        <v>522</v>
      </c>
      <c r="C9" s="207">
        <v>9</v>
      </c>
      <c r="D9" s="428" t="s">
        <v>520</v>
      </c>
      <c r="E9" s="208">
        <f>2*16000</f>
        <v>32000</v>
      </c>
      <c r="F9" s="209">
        <f t="shared" si="0"/>
        <v>288000</v>
      </c>
      <c r="G9" s="201"/>
      <c r="H9" s="201"/>
      <c r="I9" s="201"/>
      <c r="J9" s="201"/>
      <c r="K9" s="427"/>
      <c r="L9" s="201"/>
      <c r="M9" s="201"/>
    </row>
    <row r="10" spans="1:13" s="202" customFormat="1">
      <c r="A10" s="205"/>
      <c r="B10" s="206" t="s">
        <v>523</v>
      </c>
      <c r="C10" s="207">
        <f>9*5</f>
        <v>45</v>
      </c>
      <c r="D10" s="428" t="s">
        <v>524</v>
      </c>
      <c r="E10" s="208">
        <v>6985.5</v>
      </c>
      <c r="F10" s="209">
        <f t="shared" si="0"/>
        <v>314347.5</v>
      </c>
      <c r="G10" s="201"/>
      <c r="H10" s="201"/>
      <c r="I10" s="201"/>
      <c r="J10" s="201"/>
      <c r="K10" s="427"/>
      <c r="L10" s="201"/>
      <c r="M10" s="201"/>
    </row>
    <row r="11" spans="1:13" s="202" customFormat="1">
      <c r="A11" s="203"/>
      <c r="B11" s="201"/>
      <c r="C11" s="201"/>
      <c r="D11" s="427"/>
      <c r="E11" s="201"/>
      <c r="F11" s="204"/>
      <c r="G11" s="201"/>
      <c r="H11" s="201"/>
      <c r="I11" s="201"/>
      <c r="J11" s="201"/>
      <c r="K11" s="427"/>
      <c r="L11" s="201"/>
      <c r="M11" s="201"/>
    </row>
    <row r="12" spans="1:13" s="202" customFormat="1">
      <c r="A12" s="198"/>
      <c r="B12" s="198" t="s">
        <v>525</v>
      </c>
      <c r="C12" s="199"/>
      <c r="D12" s="426"/>
      <c r="E12" s="199"/>
      <c r="F12" s="197">
        <f>SUM(F7:F11)</f>
        <v>1552747.5</v>
      </c>
      <c r="G12" s="201"/>
      <c r="H12" s="201"/>
      <c r="I12" s="201"/>
      <c r="J12" s="201"/>
      <c r="K12" s="427"/>
      <c r="L12" s="201"/>
      <c r="M12" s="201"/>
    </row>
    <row r="15" spans="1:13" s="202" customFormat="1">
      <c r="A15" s="197"/>
      <c r="B15" s="198" t="s">
        <v>526</v>
      </c>
      <c r="C15" s="199"/>
      <c r="D15" s="426"/>
      <c r="E15" s="199"/>
      <c r="F15" s="200"/>
      <c r="G15" s="201"/>
      <c r="H15" s="201"/>
      <c r="I15" s="201"/>
      <c r="J15" s="201"/>
      <c r="K15" s="427"/>
      <c r="L15" s="201"/>
      <c r="M15" s="201"/>
    </row>
    <row r="16" spans="1:13" s="202" customFormat="1">
      <c r="A16" s="203"/>
      <c r="B16" s="201"/>
      <c r="C16" s="201"/>
      <c r="D16" s="427"/>
      <c r="E16" s="201"/>
      <c r="F16" s="204"/>
      <c r="G16" s="201"/>
      <c r="H16" s="201"/>
      <c r="I16" s="201"/>
      <c r="J16" s="201"/>
      <c r="K16" s="427"/>
      <c r="L16" s="201"/>
      <c r="M16" s="201"/>
    </row>
    <row r="17" spans="1:13" s="202" customFormat="1">
      <c r="A17" s="205"/>
      <c r="B17" s="206" t="s">
        <v>527</v>
      </c>
      <c r="C17" s="207">
        <v>9</v>
      </c>
      <c r="D17" s="428" t="s">
        <v>520</v>
      </c>
      <c r="E17" s="208">
        <f>2*8685</f>
        <v>17370</v>
      </c>
      <c r="F17" s="209">
        <f>+E17*C17</f>
        <v>156330</v>
      </c>
      <c r="G17" s="201"/>
      <c r="H17" s="201"/>
      <c r="I17" s="201"/>
      <c r="J17" s="201"/>
      <c r="K17" s="427"/>
      <c r="L17" s="201"/>
      <c r="M17" s="201"/>
    </row>
    <row r="18" spans="1:13" s="202" customFormat="1">
      <c r="A18" s="205"/>
      <c r="B18" s="210" t="s">
        <v>528</v>
      </c>
      <c r="C18" s="207">
        <v>9</v>
      </c>
      <c r="D18" s="428" t="s">
        <v>520</v>
      </c>
      <c r="E18" s="208">
        <f>2*2500</f>
        <v>5000</v>
      </c>
      <c r="F18" s="209">
        <f>+C18*E18</f>
        <v>45000</v>
      </c>
      <c r="G18" s="201"/>
      <c r="H18" s="201"/>
      <c r="I18" s="201"/>
      <c r="J18" s="201"/>
      <c r="K18" s="427"/>
      <c r="L18" s="201"/>
      <c r="M18" s="201"/>
    </row>
    <row r="19" spans="1:13" s="202" customFormat="1">
      <c r="A19" s="205"/>
      <c r="B19" s="210" t="s">
        <v>529</v>
      </c>
      <c r="C19" s="207">
        <v>9</v>
      </c>
      <c r="D19" s="428" t="s">
        <v>520</v>
      </c>
      <c r="E19" s="208">
        <f>2*36242.56</f>
        <v>72485.119999999995</v>
      </c>
      <c r="F19" s="209">
        <f>+C19*E19</f>
        <v>652366.07999999996</v>
      </c>
      <c r="G19" s="201"/>
      <c r="H19" s="201"/>
      <c r="I19" s="201"/>
      <c r="J19" s="201"/>
      <c r="K19" s="427"/>
      <c r="L19" s="201"/>
      <c r="M19" s="201"/>
    </row>
    <row r="20" spans="1:13" s="202" customFormat="1">
      <c r="A20" s="205"/>
      <c r="B20" s="206" t="s">
        <v>530</v>
      </c>
      <c r="C20" s="207">
        <v>9</v>
      </c>
      <c r="D20" s="428" t="s">
        <v>520</v>
      </c>
      <c r="E20" s="208">
        <f>2*12864</f>
        <v>25728</v>
      </c>
      <c r="F20" s="209">
        <f>+C20*E20</f>
        <v>231552</v>
      </c>
      <c r="G20" s="201"/>
      <c r="H20" s="201"/>
      <c r="I20" s="201"/>
      <c r="J20" s="201"/>
      <c r="K20" s="427"/>
      <c r="L20" s="201"/>
      <c r="M20" s="201"/>
    </row>
    <row r="21" spans="1:13" s="202" customFormat="1">
      <c r="A21" s="203"/>
      <c r="B21" s="201"/>
      <c r="C21" s="201"/>
      <c r="D21" s="427"/>
      <c r="E21" s="201"/>
      <c r="F21" s="204"/>
      <c r="G21" s="201"/>
      <c r="H21" s="201"/>
      <c r="I21" s="201"/>
      <c r="J21" s="201"/>
      <c r="K21" s="427"/>
      <c r="L21" s="201"/>
      <c r="M21" s="201"/>
    </row>
    <row r="22" spans="1:13" s="202" customFormat="1">
      <c r="A22" s="198"/>
      <c r="B22" s="198" t="s">
        <v>525</v>
      </c>
      <c r="C22" s="199"/>
      <c r="D22" s="426"/>
      <c r="E22" s="199"/>
      <c r="F22" s="197">
        <f>SUM(F17:F21)</f>
        <v>1085248.08</v>
      </c>
      <c r="G22" s="201"/>
      <c r="H22" s="201"/>
      <c r="I22" s="201"/>
      <c r="J22" s="201"/>
      <c r="K22" s="427"/>
      <c r="L22" s="201"/>
      <c r="M22" s="201"/>
    </row>
    <row r="25" spans="1:13" ht="20.25">
      <c r="A25" s="199"/>
      <c r="B25" s="370" t="s">
        <v>531</v>
      </c>
      <c r="C25" s="199"/>
      <c r="D25" s="426"/>
      <c r="E25" s="199"/>
      <c r="F25" s="199"/>
      <c r="H25" s="440" t="s">
        <v>532</v>
      </c>
      <c r="I25" s="441"/>
      <c r="J25" s="442"/>
      <c r="K25" s="442"/>
      <c r="L25" s="441"/>
    </row>
    <row r="26" spans="1:13" ht="20.25">
      <c r="A26" s="213"/>
      <c r="B26" s="214"/>
      <c r="C26" s="214"/>
      <c r="D26" s="429"/>
      <c r="E26" s="214"/>
      <c r="F26" s="215"/>
      <c r="H26" s="443"/>
      <c r="I26" s="441"/>
      <c r="J26" s="442"/>
      <c r="K26" s="442"/>
      <c r="L26" s="441"/>
    </row>
    <row r="27" spans="1:13" s="202" customFormat="1" ht="20.25">
      <c r="A27" s="205"/>
      <c r="B27" s="210" t="s">
        <v>533</v>
      </c>
      <c r="C27" s="207">
        <v>13</v>
      </c>
      <c r="D27" s="428" t="s">
        <v>29</v>
      </c>
      <c r="E27" s="208">
        <v>29.9</v>
      </c>
      <c r="F27" s="209">
        <f t="shared" ref="F27:F33" si="1">+C27*E27</f>
        <v>388.7</v>
      </c>
      <c r="G27" s="201"/>
      <c r="H27" s="444" t="s">
        <v>534</v>
      </c>
      <c r="I27" s="441"/>
      <c r="J27" s="442"/>
      <c r="K27" s="442"/>
      <c r="L27" s="441"/>
      <c r="M27" s="201"/>
    </row>
    <row r="28" spans="1:13" s="202" customFormat="1" ht="20.25">
      <c r="A28" s="205"/>
      <c r="B28" s="210" t="s">
        <v>535</v>
      </c>
      <c r="C28" s="207">
        <v>3.1199999999999999E-2</v>
      </c>
      <c r="D28" s="428" t="s">
        <v>25</v>
      </c>
      <c r="E28" s="216">
        <f>+L32</f>
        <v>4688.41</v>
      </c>
      <c r="F28" s="209">
        <f t="shared" si="1"/>
        <v>146.278392</v>
      </c>
      <c r="G28" s="201"/>
      <c r="H28" s="445" t="s">
        <v>536</v>
      </c>
      <c r="I28" s="446">
        <v>0.998</v>
      </c>
      <c r="J28" s="447" t="s">
        <v>25</v>
      </c>
      <c r="K28" s="448">
        <v>900</v>
      </c>
      <c r="L28" s="449">
        <f>ROUND(I28*K28,2)</f>
        <v>898.2</v>
      </c>
      <c r="M28" s="201"/>
    </row>
    <row r="29" spans="1:13" s="202" customFormat="1" ht="20.25">
      <c r="A29" s="205"/>
      <c r="B29" s="210" t="s">
        <v>537</v>
      </c>
      <c r="C29" s="207">
        <v>0.08</v>
      </c>
      <c r="D29" s="428" t="s">
        <v>0</v>
      </c>
      <c r="E29" s="208">
        <v>2270.68345323741</v>
      </c>
      <c r="F29" s="209">
        <f>+C29*E29</f>
        <v>181.65467625899279</v>
      </c>
      <c r="G29" s="201"/>
      <c r="H29" s="445" t="s">
        <v>538</v>
      </c>
      <c r="I29" s="450">
        <v>69.040000000000006</v>
      </c>
      <c r="J29" s="447" t="s">
        <v>26</v>
      </c>
      <c r="K29" s="448">
        <v>0.5</v>
      </c>
      <c r="L29" s="449">
        <f>ROUND(I29*K29,2)</f>
        <v>34.520000000000003</v>
      </c>
      <c r="M29" s="201"/>
    </row>
    <row r="30" spans="1:13" s="202" customFormat="1" ht="20.25">
      <c r="A30" s="205"/>
      <c r="B30" s="210" t="s">
        <v>539</v>
      </c>
      <c r="C30" s="207">
        <v>0.02</v>
      </c>
      <c r="D30" s="428" t="s">
        <v>25</v>
      </c>
      <c r="E30" s="208">
        <v>3748</v>
      </c>
      <c r="F30" s="209">
        <f t="shared" si="1"/>
        <v>74.960000000000008</v>
      </c>
      <c r="G30" s="201"/>
      <c r="H30" s="445" t="s">
        <v>540</v>
      </c>
      <c r="I30" s="450">
        <v>11.51</v>
      </c>
      <c r="J30" s="447" t="s">
        <v>37</v>
      </c>
      <c r="K30" s="448">
        <v>295.89</v>
      </c>
      <c r="L30" s="449">
        <f>ROUND(I30*K30,2)</f>
        <v>3405.69</v>
      </c>
      <c r="M30" s="201"/>
    </row>
    <row r="31" spans="1:13" s="202" customFormat="1" ht="20.25">
      <c r="A31" s="205"/>
      <c r="B31" s="210" t="s">
        <v>541</v>
      </c>
      <c r="C31" s="207">
        <v>1</v>
      </c>
      <c r="D31" s="428" t="s">
        <v>39</v>
      </c>
      <c r="E31" s="208">
        <v>55</v>
      </c>
      <c r="F31" s="209">
        <f t="shared" si="1"/>
        <v>55</v>
      </c>
      <c r="G31" s="201"/>
      <c r="H31" s="445" t="s">
        <v>542</v>
      </c>
      <c r="I31" s="450">
        <v>0.5</v>
      </c>
      <c r="J31" s="447" t="s">
        <v>543</v>
      </c>
      <c r="K31" s="448">
        <v>700</v>
      </c>
      <c r="L31" s="449">
        <f>ROUND(I31*K31,2)</f>
        <v>350</v>
      </c>
      <c r="M31" s="201"/>
    </row>
    <row r="32" spans="1:13" s="202" customFormat="1" ht="20.25">
      <c r="A32" s="205"/>
      <c r="B32" s="210" t="s">
        <v>544</v>
      </c>
      <c r="C32" s="207">
        <v>6</v>
      </c>
      <c r="D32" s="428" t="s">
        <v>29</v>
      </c>
      <c r="E32" s="208">
        <v>0.34</v>
      </c>
      <c r="F32" s="209">
        <f t="shared" si="1"/>
        <v>2.04</v>
      </c>
      <c r="G32" s="201"/>
      <c r="H32" s="443"/>
      <c r="I32" s="451"/>
      <c r="J32" s="447"/>
      <c r="K32" s="452" t="s">
        <v>108</v>
      </c>
      <c r="L32" s="453">
        <f>SUM(L28:L31)</f>
        <v>4688.41</v>
      </c>
      <c r="M32" s="201"/>
    </row>
    <row r="33" spans="1:13" s="202" customFormat="1" ht="20.25">
      <c r="A33" s="205"/>
      <c r="B33" s="210" t="s">
        <v>545</v>
      </c>
      <c r="C33" s="207">
        <v>13</v>
      </c>
      <c r="D33" s="428" t="s">
        <v>29</v>
      </c>
      <c r="E33" s="208">
        <v>25</v>
      </c>
      <c r="F33" s="209">
        <f t="shared" si="1"/>
        <v>325</v>
      </c>
      <c r="G33" s="201"/>
      <c r="H33" s="440" t="s">
        <v>546</v>
      </c>
      <c r="I33" s="441"/>
      <c r="J33" s="442"/>
      <c r="K33" s="442"/>
      <c r="L33" s="441"/>
      <c r="M33" s="201"/>
    </row>
    <row r="34" spans="1:13" s="202" customFormat="1" ht="20.25">
      <c r="A34" s="205"/>
      <c r="B34" s="210"/>
      <c r="C34" s="207"/>
      <c r="D34" s="428"/>
      <c r="E34" s="208"/>
      <c r="F34" s="209"/>
      <c r="G34" s="201"/>
      <c r="H34" s="445" t="s">
        <v>547</v>
      </c>
      <c r="I34" s="451">
        <v>1.02</v>
      </c>
      <c r="J34" s="447" t="s">
        <v>25</v>
      </c>
      <c r="K34" s="448">
        <v>900</v>
      </c>
      <c r="L34" s="449">
        <f>ROUND(I34*K34,2)</f>
        <v>918</v>
      </c>
      <c r="M34" s="201"/>
    </row>
    <row r="35" spans="1:13" ht="20.25">
      <c r="A35" s="198"/>
      <c r="B35" s="198" t="s">
        <v>548</v>
      </c>
      <c r="C35" s="199"/>
      <c r="D35" s="426"/>
      <c r="E35" s="199"/>
      <c r="F35" s="197">
        <f>SUM(F27:F34)</f>
        <v>1173.6330682589928</v>
      </c>
      <c r="H35" s="445" t="s">
        <v>549</v>
      </c>
      <c r="I35" s="451">
        <v>3.06</v>
      </c>
      <c r="J35" s="447" t="s">
        <v>37</v>
      </c>
      <c r="K35" s="448">
        <v>295</v>
      </c>
      <c r="L35" s="449">
        <f>ROUND(I35*K35,2)</f>
        <v>902.7</v>
      </c>
    </row>
    <row r="36" spans="1:13" ht="20.25">
      <c r="H36" s="445" t="s">
        <v>542</v>
      </c>
      <c r="I36" s="450">
        <v>0.5</v>
      </c>
      <c r="J36" s="447" t="s">
        <v>543</v>
      </c>
      <c r="K36" s="448">
        <v>700</v>
      </c>
      <c r="L36" s="449">
        <f>ROUND(I36*K36,2)</f>
        <v>350</v>
      </c>
    </row>
    <row r="37" spans="1:13" ht="20.25">
      <c r="A37" s="199"/>
      <c r="B37" s="198" t="s">
        <v>550</v>
      </c>
      <c r="C37" s="199"/>
      <c r="D37" s="426"/>
      <c r="E37" s="199"/>
      <c r="F37" s="199"/>
      <c r="H37" s="443"/>
      <c r="I37" s="451"/>
      <c r="J37" s="447"/>
      <c r="K37" s="452" t="s">
        <v>108</v>
      </c>
      <c r="L37" s="453">
        <f>SUM(L34:L36)</f>
        <v>2170.6999999999998</v>
      </c>
    </row>
    <row r="38" spans="1:13" ht="20.25">
      <c r="A38" s="213"/>
      <c r="B38" s="214"/>
      <c r="C38" s="214"/>
      <c r="D38" s="429"/>
      <c r="E38" s="214"/>
      <c r="F38" s="215"/>
      <c r="H38" s="444" t="s">
        <v>551</v>
      </c>
      <c r="I38" s="441"/>
      <c r="J38" s="442"/>
      <c r="K38" s="442"/>
      <c r="L38" s="441"/>
    </row>
    <row r="39" spans="1:13" s="202" customFormat="1" ht="20.25">
      <c r="A39" s="205"/>
      <c r="B39" s="210" t="s">
        <v>552</v>
      </c>
      <c r="C39" s="207">
        <v>13</v>
      </c>
      <c r="D39" s="428" t="s">
        <v>29</v>
      </c>
      <c r="E39" s="208">
        <v>28.749999999999996</v>
      </c>
      <c r="F39" s="209">
        <f t="shared" ref="F39:F45" si="2">+C39*E39</f>
        <v>373.74999999999994</v>
      </c>
      <c r="G39" s="201"/>
      <c r="H39" s="445" t="s">
        <v>553</v>
      </c>
      <c r="I39" s="446">
        <v>1.1020000000000001</v>
      </c>
      <c r="J39" s="447" t="s">
        <v>25</v>
      </c>
      <c r="K39" s="448">
        <f>+L37</f>
        <v>2170.6999999999998</v>
      </c>
      <c r="L39" s="449">
        <f>ROUND(I39*K39,2)</f>
        <v>2392.11</v>
      </c>
      <c r="M39" s="201"/>
    </row>
    <row r="40" spans="1:13" s="202" customFormat="1" ht="20.25">
      <c r="A40" s="205"/>
      <c r="B40" s="210" t="s">
        <v>535</v>
      </c>
      <c r="C40" s="207">
        <v>2.5000000000000001E-2</v>
      </c>
      <c r="D40" s="428" t="s">
        <v>25</v>
      </c>
      <c r="E40" s="216">
        <f>+L32</f>
        <v>4688.41</v>
      </c>
      <c r="F40" s="209">
        <f t="shared" si="2"/>
        <v>117.21025</v>
      </c>
      <c r="G40" s="201"/>
      <c r="H40" s="445" t="s">
        <v>540</v>
      </c>
      <c r="I40" s="451">
        <v>9.4600000000000009</v>
      </c>
      <c r="J40" s="447" t="s">
        <v>37</v>
      </c>
      <c r="K40" s="448">
        <v>295.89</v>
      </c>
      <c r="L40" s="449">
        <f>ROUND(I40*K40,2)</f>
        <v>2799.12</v>
      </c>
      <c r="M40" s="201"/>
    </row>
    <row r="41" spans="1:13" s="202" customFormat="1" ht="20.25">
      <c r="A41" s="205"/>
      <c r="B41" s="210" t="s">
        <v>554</v>
      </c>
      <c r="C41" s="207">
        <v>0.04</v>
      </c>
      <c r="D41" s="428" t="s">
        <v>0</v>
      </c>
      <c r="E41" s="208">
        <v>2270.68345323741</v>
      </c>
      <c r="F41" s="209">
        <f t="shared" si="2"/>
        <v>90.827338129496397</v>
      </c>
      <c r="G41" s="201"/>
      <c r="H41" s="445" t="s">
        <v>538</v>
      </c>
      <c r="I41" s="450">
        <v>45.24</v>
      </c>
      <c r="J41" s="447" t="s">
        <v>26</v>
      </c>
      <c r="K41" s="448">
        <v>0.5</v>
      </c>
      <c r="L41" s="449">
        <f>ROUND(I41*K41,2)</f>
        <v>22.62</v>
      </c>
      <c r="M41" s="201"/>
    </row>
    <row r="42" spans="1:13" s="202" customFormat="1" ht="20.25">
      <c r="A42" s="205"/>
      <c r="B42" s="210" t="s">
        <v>539</v>
      </c>
      <c r="C42" s="207">
        <v>1.4999999999999999E-2</v>
      </c>
      <c r="D42" s="428" t="s">
        <v>25</v>
      </c>
      <c r="E42" s="208">
        <v>3748</v>
      </c>
      <c r="F42" s="209">
        <f t="shared" si="2"/>
        <v>56.22</v>
      </c>
      <c r="G42" s="201"/>
      <c r="H42" s="445" t="s">
        <v>542</v>
      </c>
      <c r="I42" s="450">
        <v>0.5</v>
      </c>
      <c r="J42" s="447" t="s">
        <v>543</v>
      </c>
      <c r="K42" s="448">
        <v>700</v>
      </c>
      <c r="L42" s="449">
        <f>ROUND(I42*K42,2)</f>
        <v>350</v>
      </c>
      <c r="M42" s="201"/>
    </row>
    <row r="43" spans="1:13" s="202" customFormat="1" ht="20.25">
      <c r="A43" s="205"/>
      <c r="B43" s="210" t="s">
        <v>541</v>
      </c>
      <c r="C43" s="207">
        <v>1</v>
      </c>
      <c r="D43" s="428" t="s">
        <v>39</v>
      </c>
      <c r="E43" s="208">
        <v>55</v>
      </c>
      <c r="F43" s="209">
        <f t="shared" si="2"/>
        <v>55</v>
      </c>
      <c r="G43" s="201"/>
      <c r="H43" s="443"/>
      <c r="I43" s="451"/>
      <c r="J43" s="447"/>
      <c r="K43" s="452" t="s">
        <v>108</v>
      </c>
      <c r="L43" s="453">
        <f>SUM(L39:L42)</f>
        <v>5563.8499999999995</v>
      </c>
      <c r="M43" s="201"/>
    </row>
    <row r="44" spans="1:13" s="202" customFormat="1" ht="20.25">
      <c r="A44" s="205"/>
      <c r="B44" s="210" t="s">
        <v>544</v>
      </c>
      <c r="C44" s="207">
        <v>6</v>
      </c>
      <c r="D44" s="428" t="s">
        <v>29</v>
      </c>
      <c r="E44" s="208">
        <v>0.34</v>
      </c>
      <c r="F44" s="209">
        <f t="shared" si="2"/>
        <v>2.04</v>
      </c>
      <c r="G44" s="201"/>
      <c r="H44" s="444" t="s">
        <v>555</v>
      </c>
      <c r="I44" s="441"/>
      <c r="J44" s="442"/>
      <c r="K44" s="442"/>
      <c r="L44" s="441"/>
      <c r="M44" s="201"/>
    </row>
    <row r="45" spans="1:13" s="202" customFormat="1" ht="20.25">
      <c r="A45" s="205"/>
      <c r="B45" s="210" t="s">
        <v>545</v>
      </c>
      <c r="C45" s="207">
        <v>13</v>
      </c>
      <c r="D45" s="428" t="s">
        <v>29</v>
      </c>
      <c r="E45" s="208">
        <v>25</v>
      </c>
      <c r="F45" s="209">
        <f t="shared" si="2"/>
        <v>325</v>
      </c>
      <c r="G45" s="201"/>
      <c r="H45" s="445" t="s">
        <v>547</v>
      </c>
      <c r="I45" s="451">
        <v>1.02</v>
      </c>
      <c r="J45" s="447" t="s">
        <v>25</v>
      </c>
      <c r="K45" s="448">
        <v>900</v>
      </c>
      <c r="L45" s="449">
        <f>ROUND(I45*K45,2)</f>
        <v>918</v>
      </c>
      <c r="M45" s="201"/>
    </row>
    <row r="46" spans="1:13" s="202" customFormat="1" ht="20.25">
      <c r="A46" s="205"/>
      <c r="B46" s="210"/>
      <c r="C46" s="207"/>
      <c r="D46" s="428"/>
      <c r="E46" s="208"/>
      <c r="F46" s="209"/>
      <c r="G46" s="201"/>
      <c r="H46" s="445" t="s">
        <v>538</v>
      </c>
      <c r="I46" s="450">
        <v>100</v>
      </c>
      <c r="J46" s="447" t="s">
        <v>26</v>
      </c>
      <c r="K46" s="448">
        <v>0.5</v>
      </c>
      <c r="L46" s="449">
        <f>ROUND(I46*K46,2)</f>
        <v>50</v>
      </c>
      <c r="M46" s="201"/>
    </row>
    <row r="47" spans="1:13" ht="20.25">
      <c r="A47" s="198"/>
      <c r="B47" s="198" t="s">
        <v>548</v>
      </c>
      <c r="C47" s="199"/>
      <c r="D47" s="426"/>
      <c r="E47" s="199"/>
      <c r="F47" s="197">
        <f>SUM(F39:F46)</f>
        <v>1020.0475881294964</v>
      </c>
      <c r="H47" s="445" t="s">
        <v>549</v>
      </c>
      <c r="I47" s="451">
        <v>3.06</v>
      </c>
      <c r="J47" s="447" t="s">
        <v>37</v>
      </c>
      <c r="K47" s="448">
        <v>295</v>
      </c>
      <c r="L47" s="449">
        <f>ROUND(I47*K47,2)</f>
        <v>902.7</v>
      </c>
    </row>
    <row r="48" spans="1:13" ht="20.25">
      <c r="H48" s="445" t="s">
        <v>540</v>
      </c>
      <c r="I48" s="451">
        <v>17.66</v>
      </c>
      <c r="J48" s="447" t="s">
        <v>37</v>
      </c>
      <c r="K48" s="448">
        <v>295.89</v>
      </c>
      <c r="L48" s="449">
        <f>ROUND(I48*K48,2)</f>
        <v>5225.42</v>
      </c>
    </row>
    <row r="49" spans="1:13" ht="20.25">
      <c r="A49" s="199"/>
      <c r="B49" s="198" t="s">
        <v>556</v>
      </c>
      <c r="C49" s="199"/>
      <c r="D49" s="426"/>
      <c r="E49" s="199"/>
      <c r="F49" s="199"/>
      <c r="H49" s="445" t="s">
        <v>542</v>
      </c>
      <c r="I49" s="450">
        <v>0.5</v>
      </c>
      <c r="J49" s="447" t="s">
        <v>543</v>
      </c>
      <c r="K49" s="448">
        <v>700</v>
      </c>
      <c r="L49" s="449">
        <f>ROUND(I49*K49,2)</f>
        <v>350</v>
      </c>
    </row>
    <row r="50" spans="1:13" ht="20.25">
      <c r="A50" s="213"/>
      <c r="B50" s="214"/>
      <c r="C50" s="214"/>
      <c r="D50" s="429"/>
      <c r="E50" s="214"/>
      <c r="F50" s="215"/>
      <c r="H50" s="443"/>
      <c r="I50" s="451"/>
      <c r="J50" s="447"/>
      <c r="K50" s="452" t="s">
        <v>108</v>
      </c>
      <c r="L50" s="453">
        <f>SUM(L45:L49)</f>
        <v>7446.12</v>
      </c>
    </row>
    <row r="51" spans="1:13" s="202" customFormat="1" ht="20.25">
      <c r="A51" s="205"/>
      <c r="B51" s="217" t="s">
        <v>557</v>
      </c>
      <c r="C51" s="207">
        <f>1.49*0.01</f>
        <v>1.49E-2</v>
      </c>
      <c r="D51" s="428" t="s">
        <v>108</v>
      </c>
      <c r="E51" s="216">
        <f>+L32</f>
        <v>4688.41</v>
      </c>
      <c r="F51" s="209">
        <f t="shared" ref="F51:F53" si="3">+C51*E51</f>
        <v>69.857309000000001</v>
      </c>
      <c r="G51" s="201"/>
      <c r="H51" s="444" t="s">
        <v>558</v>
      </c>
      <c r="I51" s="441"/>
      <c r="J51" s="442"/>
      <c r="K51" s="442"/>
      <c r="L51" s="441"/>
      <c r="M51" s="201"/>
    </row>
    <row r="52" spans="1:13" s="202" customFormat="1" ht="20.25">
      <c r="A52" s="205"/>
      <c r="B52" s="217" t="s">
        <v>559</v>
      </c>
      <c r="C52" s="207">
        <v>1</v>
      </c>
      <c r="D52" s="428" t="s">
        <v>39</v>
      </c>
      <c r="E52" s="208">
        <v>55</v>
      </c>
      <c r="F52" s="209">
        <f t="shared" si="3"/>
        <v>55</v>
      </c>
      <c r="G52" s="201"/>
      <c r="H52" s="445" t="s">
        <v>536</v>
      </c>
      <c r="I52" s="451">
        <v>1.02</v>
      </c>
      <c r="J52" s="447" t="s">
        <v>25</v>
      </c>
      <c r="K52" s="448">
        <v>950</v>
      </c>
      <c r="L52" s="449">
        <f>ROUND(I52*K52,2)</f>
        <v>969</v>
      </c>
      <c r="M52" s="201"/>
    </row>
    <row r="53" spans="1:13" s="202" customFormat="1" ht="20.25">
      <c r="A53" s="205"/>
      <c r="B53" s="210" t="s">
        <v>560</v>
      </c>
      <c r="C53" s="207">
        <v>7.7400000000000004E-3</v>
      </c>
      <c r="D53" s="428" t="s">
        <v>90</v>
      </c>
      <c r="E53" s="208">
        <f>+F52+F51</f>
        <v>124.857309</v>
      </c>
      <c r="F53" s="209">
        <f t="shared" si="3"/>
        <v>0.96639557166000001</v>
      </c>
      <c r="G53" s="201"/>
      <c r="H53" s="445" t="s">
        <v>549</v>
      </c>
      <c r="I53" s="451">
        <v>3.06</v>
      </c>
      <c r="J53" s="447" t="s">
        <v>37</v>
      </c>
      <c r="K53" s="448">
        <v>295</v>
      </c>
      <c r="L53" s="449">
        <f>ROUND(I53*K53,2)</f>
        <v>902.7</v>
      </c>
      <c r="M53" s="201"/>
    </row>
    <row r="54" spans="1:13" s="202" customFormat="1" ht="20.25">
      <c r="A54" s="205"/>
      <c r="B54" s="210"/>
      <c r="C54" s="207"/>
      <c r="D54" s="428"/>
      <c r="E54" s="208"/>
      <c r="F54" s="209"/>
      <c r="G54" s="201"/>
      <c r="H54" s="445" t="s">
        <v>542</v>
      </c>
      <c r="I54" s="450">
        <v>0.5</v>
      </c>
      <c r="J54" s="447" t="s">
        <v>543</v>
      </c>
      <c r="K54" s="448">
        <v>700</v>
      </c>
      <c r="L54" s="449">
        <f>ROUND(I54*K54,2)</f>
        <v>350</v>
      </c>
      <c r="M54" s="201"/>
    </row>
    <row r="55" spans="1:13" ht="20.25">
      <c r="A55" s="198"/>
      <c r="B55" s="198" t="s">
        <v>548</v>
      </c>
      <c r="C55" s="199"/>
      <c r="D55" s="426"/>
      <c r="E55" s="199"/>
      <c r="F55" s="197">
        <f>SUM(F51:F54)</f>
        <v>125.82370457166</v>
      </c>
      <c r="H55" s="443"/>
      <c r="I55" s="451"/>
      <c r="J55" s="447"/>
      <c r="K55" s="452" t="s">
        <v>108</v>
      </c>
      <c r="L55" s="453">
        <f>SUM(L52:L54)</f>
        <v>2221.6999999999998</v>
      </c>
    </row>
    <row r="56" spans="1:13" ht="20.25">
      <c r="H56" s="444" t="s">
        <v>561</v>
      </c>
      <c r="I56" s="441"/>
      <c r="J56" s="442"/>
      <c r="K56" s="442"/>
      <c r="L56" s="441"/>
    </row>
    <row r="57" spans="1:13" ht="20.25">
      <c r="A57" s="199"/>
      <c r="B57" s="198" t="s">
        <v>562</v>
      </c>
      <c r="C57" s="199"/>
      <c r="D57" s="426"/>
      <c r="E57" s="199"/>
      <c r="F57" s="199"/>
      <c r="H57" s="445" t="s">
        <v>563</v>
      </c>
      <c r="I57" s="454">
        <v>1.2</v>
      </c>
      <c r="J57" s="447" t="s">
        <v>25</v>
      </c>
      <c r="K57" s="448">
        <f>+L55</f>
        <v>2221.6999999999998</v>
      </c>
      <c r="L57" s="449">
        <f>ROUND(I57*K57,2)</f>
        <v>2666.04</v>
      </c>
    </row>
    <row r="58" spans="1:13" ht="20.25">
      <c r="A58" s="213"/>
      <c r="B58" s="214"/>
      <c r="C58" s="214"/>
      <c r="D58" s="429"/>
      <c r="E58" s="214"/>
      <c r="F58" s="215"/>
      <c r="H58" s="445" t="s">
        <v>540</v>
      </c>
      <c r="I58" s="451">
        <v>5.24</v>
      </c>
      <c r="J58" s="447" t="s">
        <v>37</v>
      </c>
      <c r="K58" s="448">
        <v>295.89</v>
      </c>
      <c r="L58" s="449">
        <f>ROUND(I58*K58,2)</f>
        <v>1550.46</v>
      </c>
    </row>
    <row r="59" spans="1:13" s="202" customFormat="1" ht="20.25">
      <c r="A59" s="205"/>
      <c r="B59" s="210" t="s">
        <v>564</v>
      </c>
      <c r="C59" s="207">
        <v>2.6000000000000002E-2</v>
      </c>
      <c r="D59" s="428" t="s">
        <v>25</v>
      </c>
      <c r="E59" s="216">
        <f>+L43</f>
        <v>5563.8499999999995</v>
      </c>
      <c r="F59" s="209">
        <f t="shared" ref="F59:F63" si="4">+C59*E59</f>
        <v>144.6601</v>
      </c>
      <c r="G59" s="201"/>
      <c r="H59" s="445" t="s">
        <v>538</v>
      </c>
      <c r="I59" s="450">
        <v>70</v>
      </c>
      <c r="J59" s="447" t="s">
        <v>26</v>
      </c>
      <c r="K59" s="448">
        <v>0.5</v>
      </c>
      <c r="L59" s="449">
        <f>ROUND(I59*K59,2)</f>
        <v>35</v>
      </c>
      <c r="M59" s="201"/>
    </row>
    <row r="60" spans="1:13" s="202" customFormat="1" ht="20.25">
      <c r="A60" s="205"/>
      <c r="B60" s="210" t="s">
        <v>565</v>
      </c>
      <c r="C60" s="207">
        <v>3.3299999999999996E-2</v>
      </c>
      <c r="D60" s="428" t="s">
        <v>10</v>
      </c>
      <c r="E60" s="208">
        <v>57.49</v>
      </c>
      <c r="F60" s="209">
        <f t="shared" si="4"/>
        <v>1.9144169999999998</v>
      </c>
      <c r="G60" s="201"/>
      <c r="H60" s="445" t="s">
        <v>542</v>
      </c>
      <c r="I60" s="450">
        <v>0.5</v>
      </c>
      <c r="J60" s="447" t="s">
        <v>543</v>
      </c>
      <c r="K60" s="448">
        <v>700</v>
      </c>
      <c r="L60" s="449">
        <f>ROUND(I60*K60,2)</f>
        <v>350</v>
      </c>
      <c r="M60" s="201"/>
    </row>
    <row r="61" spans="1:13" s="202" customFormat="1" ht="20.25">
      <c r="A61" s="205"/>
      <c r="B61" s="210" t="s">
        <v>566</v>
      </c>
      <c r="C61" s="207">
        <v>1</v>
      </c>
      <c r="D61" s="428" t="s">
        <v>32</v>
      </c>
      <c r="E61" s="208">
        <v>35</v>
      </c>
      <c r="F61" s="209">
        <f t="shared" si="4"/>
        <v>35</v>
      </c>
      <c r="G61" s="201"/>
      <c r="H61" s="455"/>
      <c r="I61" s="456"/>
      <c r="J61" s="447"/>
      <c r="K61" s="452" t="s">
        <v>108</v>
      </c>
      <c r="L61" s="453">
        <f>SUM(L57:L60)</f>
        <v>4601.5</v>
      </c>
      <c r="M61" s="201"/>
    </row>
    <row r="62" spans="1:13" s="202" customFormat="1" ht="20.25">
      <c r="A62" s="205"/>
      <c r="B62" s="210" t="s">
        <v>567</v>
      </c>
      <c r="C62" s="207">
        <v>2.3E-2</v>
      </c>
      <c r="D62" s="428" t="s">
        <v>543</v>
      </c>
      <c r="E62" s="208">
        <v>850</v>
      </c>
      <c r="F62" s="209">
        <f t="shared" si="4"/>
        <v>19.55</v>
      </c>
      <c r="G62" s="201"/>
      <c r="H62" s="457"/>
      <c r="I62" s="457"/>
      <c r="J62" s="457"/>
      <c r="K62" s="458"/>
      <c r="L62" s="457"/>
      <c r="M62" s="201"/>
    </row>
    <row r="63" spans="1:13" s="202" customFormat="1">
      <c r="A63" s="205"/>
      <c r="B63" s="210" t="s">
        <v>568</v>
      </c>
      <c r="C63" s="207">
        <v>1</v>
      </c>
      <c r="D63" s="428" t="s">
        <v>11</v>
      </c>
      <c r="E63" s="208">
        <v>125</v>
      </c>
      <c r="F63" s="209">
        <f t="shared" si="4"/>
        <v>125</v>
      </c>
      <c r="G63" s="201"/>
      <c r="H63" s="201"/>
      <c r="I63" s="201"/>
      <c r="J63" s="201"/>
      <c r="K63" s="427"/>
      <c r="L63" s="201"/>
      <c r="M63" s="201"/>
    </row>
    <row r="64" spans="1:13" s="202" customFormat="1">
      <c r="A64" s="205"/>
      <c r="B64" s="210"/>
      <c r="C64" s="207"/>
      <c r="D64" s="428"/>
      <c r="E64" s="208"/>
      <c r="F64" s="209"/>
      <c r="G64" s="201"/>
      <c r="H64" s="201"/>
      <c r="I64" s="201"/>
      <c r="J64" s="201"/>
      <c r="K64" s="427"/>
      <c r="L64" s="201"/>
      <c r="M64" s="201"/>
    </row>
    <row r="65" spans="1:13">
      <c r="A65" s="198"/>
      <c r="B65" s="198" t="s">
        <v>548</v>
      </c>
      <c r="C65" s="199"/>
      <c r="D65" s="426"/>
      <c r="E65" s="199"/>
      <c r="F65" s="197">
        <f>SUM(F59:F64)</f>
        <v>326.12451699999997</v>
      </c>
    </row>
    <row r="67" spans="1:13">
      <c r="A67" s="199"/>
      <c r="B67" s="198" t="s">
        <v>569</v>
      </c>
      <c r="C67" s="199"/>
      <c r="D67" s="426"/>
      <c r="E67" s="199"/>
      <c r="F67" s="199"/>
    </row>
    <row r="68" spans="1:13">
      <c r="A68" s="213"/>
      <c r="B68" s="214"/>
      <c r="C68" s="214"/>
      <c r="D68" s="429"/>
      <c r="E68" s="214"/>
      <c r="F68" s="215"/>
    </row>
    <row r="69" spans="1:13" s="202" customFormat="1">
      <c r="A69" s="205"/>
      <c r="B69" s="210" t="s">
        <v>570</v>
      </c>
      <c r="C69" s="207">
        <f>0.0043*1.5</f>
        <v>6.45E-3</v>
      </c>
      <c r="D69" s="428" t="s">
        <v>25</v>
      </c>
      <c r="E69" s="216">
        <f>+E59</f>
        <v>5563.8499999999995</v>
      </c>
      <c r="F69" s="209">
        <f t="shared" ref="F69:F71" si="5">+C69*E69</f>
        <v>35.886832499999997</v>
      </c>
      <c r="G69" s="201"/>
      <c r="H69" s="201"/>
      <c r="I69" s="201"/>
      <c r="J69" s="201"/>
      <c r="K69" s="427"/>
      <c r="L69" s="201"/>
      <c r="M69" s="201"/>
    </row>
    <row r="70" spans="1:13" s="202" customFormat="1">
      <c r="A70" s="205"/>
      <c r="B70" s="210" t="s">
        <v>571</v>
      </c>
      <c r="C70" s="207">
        <v>0.21800000000000003</v>
      </c>
      <c r="D70" s="428" t="s">
        <v>10</v>
      </c>
      <c r="E70" s="208">
        <v>57.49</v>
      </c>
      <c r="F70" s="209">
        <f t="shared" si="5"/>
        <v>12.532820000000003</v>
      </c>
      <c r="G70" s="201"/>
      <c r="H70" s="201"/>
      <c r="I70" s="201"/>
      <c r="J70" s="201"/>
      <c r="K70" s="427"/>
      <c r="L70" s="201"/>
      <c r="M70" s="201"/>
    </row>
    <row r="71" spans="1:13" s="202" customFormat="1">
      <c r="A71" s="205"/>
      <c r="B71" s="210" t="s">
        <v>568</v>
      </c>
      <c r="C71" s="207">
        <v>1</v>
      </c>
      <c r="D71" s="428" t="s">
        <v>59</v>
      </c>
      <c r="E71" s="208">
        <v>85</v>
      </c>
      <c r="F71" s="209">
        <f t="shared" si="5"/>
        <v>85</v>
      </c>
      <c r="G71" s="201"/>
      <c r="H71" s="201"/>
      <c r="I71" s="201"/>
      <c r="J71" s="201"/>
      <c r="K71" s="427"/>
      <c r="L71" s="201"/>
      <c r="M71" s="201"/>
    </row>
    <row r="72" spans="1:13" s="202" customFormat="1">
      <c r="A72" s="205"/>
      <c r="B72" s="210"/>
      <c r="C72" s="207"/>
      <c r="D72" s="428"/>
      <c r="E72" s="208"/>
      <c r="F72" s="209"/>
      <c r="G72" s="201"/>
      <c r="H72" s="201"/>
      <c r="I72" s="201"/>
      <c r="J72" s="201"/>
      <c r="K72" s="427"/>
      <c r="L72" s="201"/>
      <c r="M72" s="201"/>
    </row>
    <row r="73" spans="1:13">
      <c r="A73" s="198"/>
      <c r="B73" s="198" t="s">
        <v>548</v>
      </c>
      <c r="C73" s="199"/>
      <c r="D73" s="426"/>
      <c r="E73" s="199"/>
      <c r="F73" s="197">
        <f>SUM(F69:F72)</f>
        <v>133.41965249999998</v>
      </c>
    </row>
    <row r="75" spans="1:13">
      <c r="A75" s="199"/>
      <c r="B75" s="198" t="s">
        <v>572</v>
      </c>
      <c r="C75" s="199"/>
      <c r="D75" s="426"/>
      <c r="E75" s="199"/>
      <c r="F75" s="199"/>
    </row>
    <row r="76" spans="1:13">
      <c r="A76" s="213"/>
      <c r="B76" s="214"/>
      <c r="C76" s="214"/>
      <c r="D76" s="429"/>
      <c r="E76" s="214"/>
      <c r="F76" s="215"/>
    </row>
    <row r="77" spans="1:13" s="202" customFormat="1">
      <c r="A77" s="205"/>
      <c r="B77" s="210" t="s">
        <v>573</v>
      </c>
      <c r="C77" s="207">
        <f>0.06*1.05</f>
        <v>6.3E-2</v>
      </c>
      <c r="D77" s="428" t="s">
        <v>25</v>
      </c>
      <c r="E77" s="216">
        <v>5430</v>
      </c>
      <c r="F77" s="209">
        <f t="shared" ref="F77:F79" si="6">+C77*E77</f>
        <v>342.09</v>
      </c>
      <c r="G77" s="201"/>
      <c r="H77" s="201"/>
      <c r="I77" s="201"/>
      <c r="J77" s="201"/>
      <c r="K77" s="427"/>
      <c r="L77" s="201"/>
      <c r="M77" s="201"/>
    </row>
    <row r="78" spans="1:13" s="202" customFormat="1">
      <c r="A78" s="205"/>
      <c r="B78" s="210" t="s">
        <v>565</v>
      </c>
      <c r="C78" s="207">
        <v>3.3299999999999996E-2</v>
      </c>
      <c r="D78" s="428" t="s">
        <v>10</v>
      </c>
      <c r="E78" s="208">
        <v>57.49</v>
      </c>
      <c r="F78" s="209">
        <f t="shared" si="6"/>
        <v>1.9144169999999998</v>
      </c>
      <c r="G78" s="201"/>
      <c r="H78" s="201"/>
      <c r="I78" s="201"/>
      <c r="J78" s="201"/>
      <c r="K78" s="427"/>
      <c r="L78" s="201"/>
      <c r="M78" s="201"/>
    </row>
    <row r="79" spans="1:13" s="202" customFormat="1">
      <c r="A79" s="205"/>
      <c r="B79" s="210" t="s">
        <v>568</v>
      </c>
      <c r="C79" s="207">
        <v>1</v>
      </c>
      <c r="D79" s="428" t="s">
        <v>11</v>
      </c>
      <c r="E79" s="208">
        <v>155</v>
      </c>
      <c r="F79" s="209">
        <f t="shared" si="6"/>
        <v>155</v>
      </c>
      <c r="G79" s="201"/>
      <c r="H79" s="201"/>
      <c r="I79" s="201"/>
      <c r="J79" s="201"/>
      <c r="K79" s="427"/>
      <c r="L79" s="201"/>
      <c r="M79" s="201"/>
    </row>
    <row r="80" spans="1:13" s="202" customFormat="1">
      <c r="A80" s="205"/>
      <c r="B80" s="210"/>
      <c r="C80" s="207"/>
      <c r="D80" s="428"/>
      <c r="E80" s="208"/>
      <c r="F80" s="209"/>
      <c r="G80" s="201"/>
      <c r="H80" s="201"/>
      <c r="I80" s="201"/>
      <c r="J80" s="201"/>
      <c r="K80" s="427"/>
      <c r="L80" s="201"/>
      <c r="M80" s="201"/>
    </row>
    <row r="81" spans="1:13">
      <c r="A81" s="198"/>
      <c r="B81" s="198" t="s">
        <v>548</v>
      </c>
      <c r="C81" s="199"/>
      <c r="D81" s="426"/>
      <c r="E81" s="199"/>
      <c r="F81" s="197">
        <f>SUM(F77:F80)</f>
        <v>499.00441699999999</v>
      </c>
    </row>
    <row r="83" spans="1:13">
      <c r="A83" s="199"/>
      <c r="B83" s="198" t="s">
        <v>574</v>
      </c>
      <c r="C83" s="199"/>
      <c r="D83" s="426"/>
      <c r="E83" s="199"/>
      <c r="F83" s="199"/>
    </row>
    <row r="84" spans="1:13">
      <c r="A84" s="213"/>
      <c r="B84" s="214"/>
      <c r="C84" s="214"/>
      <c r="D84" s="429"/>
      <c r="E84" s="214"/>
      <c r="F84" s="215"/>
    </row>
    <row r="85" spans="1:13" s="202" customFormat="1">
      <c r="A85" s="205"/>
      <c r="B85" s="210" t="s">
        <v>575</v>
      </c>
      <c r="C85" s="207">
        <f>0.0043*15</f>
        <v>6.4500000000000002E-2</v>
      </c>
      <c r="D85" s="428" t="s">
        <v>25</v>
      </c>
      <c r="E85" s="216">
        <f>+L58</f>
        <v>1550.46</v>
      </c>
      <c r="F85" s="209">
        <f t="shared" ref="F85:F86" si="7">+C85*E85</f>
        <v>100.00467</v>
      </c>
      <c r="G85" s="201"/>
      <c r="H85" s="201"/>
      <c r="I85" s="201"/>
      <c r="J85" s="201"/>
      <c r="K85" s="427"/>
      <c r="L85" s="201"/>
      <c r="M85" s="201"/>
    </row>
    <row r="86" spans="1:13" s="202" customFormat="1">
      <c r="A86" s="205"/>
      <c r="B86" s="210" t="s">
        <v>568</v>
      </c>
      <c r="C86" s="207">
        <v>1</v>
      </c>
      <c r="D86" s="428" t="s">
        <v>59</v>
      </c>
      <c r="E86" s="208">
        <v>75</v>
      </c>
      <c r="F86" s="209">
        <f t="shared" si="7"/>
        <v>75</v>
      </c>
      <c r="G86" s="201"/>
      <c r="H86" s="201"/>
      <c r="I86" s="201"/>
      <c r="J86" s="201"/>
      <c r="K86" s="427"/>
      <c r="L86" s="201"/>
      <c r="M86" s="201"/>
    </row>
    <row r="87" spans="1:13" s="202" customFormat="1">
      <c r="A87" s="205"/>
      <c r="B87" s="210"/>
      <c r="C87" s="207"/>
      <c r="D87" s="428"/>
      <c r="E87" s="208"/>
      <c r="F87" s="209"/>
      <c r="G87" s="201"/>
      <c r="H87" s="201"/>
      <c r="I87" s="201"/>
      <c r="J87" s="201"/>
      <c r="K87" s="427"/>
      <c r="L87" s="201"/>
      <c r="M87" s="201"/>
    </row>
    <row r="88" spans="1:13">
      <c r="A88" s="198"/>
      <c r="B88" s="198" t="s">
        <v>548</v>
      </c>
      <c r="C88" s="199"/>
      <c r="D88" s="426"/>
      <c r="E88" s="199"/>
      <c r="F88" s="197">
        <f>SUM(F85:F87)</f>
        <v>175.00467</v>
      </c>
    </row>
    <row r="90" spans="1:13">
      <c r="A90" s="199"/>
      <c r="B90" s="198" t="s">
        <v>576</v>
      </c>
      <c r="C90" s="199"/>
      <c r="D90" s="426"/>
      <c r="E90" s="199"/>
      <c r="F90" s="199"/>
    </row>
    <row r="91" spans="1:13">
      <c r="A91" s="213"/>
      <c r="B91" s="214"/>
      <c r="C91" s="214"/>
      <c r="D91" s="429"/>
      <c r="E91" s="214"/>
      <c r="F91" s="215"/>
    </row>
    <row r="92" spans="1:13">
      <c r="A92" s="205"/>
      <c r="B92" s="210" t="s">
        <v>533</v>
      </c>
      <c r="C92" s="207">
        <v>13</v>
      </c>
      <c r="D92" s="428" t="s">
        <v>29</v>
      </c>
      <c r="E92" s="208">
        <v>29.9</v>
      </c>
      <c r="F92" s="209">
        <f t="shared" ref="F92:F98" si="8">+C92*E92</f>
        <v>388.7</v>
      </c>
    </row>
    <row r="93" spans="1:13">
      <c r="A93" s="205"/>
      <c r="B93" s="210" t="s">
        <v>535</v>
      </c>
      <c r="C93" s="207">
        <v>3.1199999999999999E-2</v>
      </c>
      <c r="D93" s="428" t="s">
        <v>25</v>
      </c>
      <c r="E93" s="216">
        <f>+E28</f>
        <v>4688.41</v>
      </c>
      <c r="F93" s="209">
        <f t="shared" si="8"/>
        <v>146.278392</v>
      </c>
    </row>
    <row r="94" spans="1:13">
      <c r="A94" s="205"/>
      <c r="B94" s="210" t="s">
        <v>537</v>
      </c>
      <c r="C94" s="207">
        <v>0.08</v>
      </c>
      <c r="D94" s="428" t="s">
        <v>0</v>
      </c>
      <c r="E94" s="208">
        <v>2270.68345323741</v>
      </c>
      <c r="F94" s="209">
        <f t="shared" si="8"/>
        <v>181.65467625899279</v>
      </c>
    </row>
    <row r="95" spans="1:13">
      <c r="A95" s="205"/>
      <c r="B95" s="210" t="s">
        <v>539</v>
      </c>
      <c r="C95" s="207">
        <v>0.03</v>
      </c>
      <c r="D95" s="428" t="s">
        <v>25</v>
      </c>
      <c r="E95" s="208">
        <v>3748</v>
      </c>
      <c r="F95" s="209">
        <f t="shared" si="8"/>
        <v>112.44</v>
      </c>
    </row>
    <row r="96" spans="1:13">
      <c r="A96" s="205"/>
      <c r="B96" s="210" t="s">
        <v>541</v>
      </c>
      <c r="C96" s="207">
        <v>1</v>
      </c>
      <c r="D96" s="428" t="s">
        <v>39</v>
      </c>
      <c r="E96" s="208">
        <v>55</v>
      </c>
      <c r="F96" s="209">
        <f t="shared" si="8"/>
        <v>55</v>
      </c>
    </row>
    <row r="97" spans="1:13">
      <c r="A97" s="205"/>
      <c r="B97" s="210" t="s">
        <v>544</v>
      </c>
      <c r="C97" s="207">
        <v>6</v>
      </c>
      <c r="D97" s="428" t="s">
        <v>29</v>
      </c>
      <c r="E97" s="208">
        <v>0.34</v>
      </c>
      <c r="F97" s="209">
        <f t="shared" si="8"/>
        <v>2.04</v>
      </c>
    </row>
    <row r="98" spans="1:13">
      <c r="A98" s="205"/>
      <c r="B98" s="210" t="s">
        <v>545</v>
      </c>
      <c r="C98" s="207">
        <v>13</v>
      </c>
      <c r="D98" s="428" t="s">
        <v>29</v>
      </c>
      <c r="E98" s="208">
        <v>25</v>
      </c>
      <c r="F98" s="209">
        <f t="shared" si="8"/>
        <v>325</v>
      </c>
    </row>
    <row r="99" spans="1:13">
      <c r="A99" s="205"/>
      <c r="B99" s="210"/>
      <c r="C99" s="207"/>
      <c r="D99" s="428"/>
      <c r="E99" s="208"/>
      <c r="F99" s="209"/>
    </row>
    <row r="100" spans="1:13">
      <c r="A100" s="198"/>
      <c r="B100" s="198" t="s">
        <v>548</v>
      </c>
      <c r="C100" s="199"/>
      <c r="D100" s="426"/>
      <c r="E100" s="199"/>
      <c r="F100" s="197">
        <f>SUM(F92:F99)</f>
        <v>1211.1130682589928</v>
      </c>
    </row>
    <row r="102" spans="1:13">
      <c r="A102" s="199"/>
      <c r="B102" s="198" t="s">
        <v>577</v>
      </c>
      <c r="C102" s="199"/>
      <c r="D102" s="426"/>
      <c r="E102" s="199"/>
      <c r="F102" s="199"/>
    </row>
    <row r="103" spans="1:13">
      <c r="A103" s="213"/>
      <c r="B103" s="214"/>
      <c r="C103" s="214"/>
      <c r="D103" s="429"/>
      <c r="E103" s="214"/>
      <c r="F103" s="215"/>
    </row>
    <row r="104" spans="1:13" s="202" customFormat="1">
      <c r="A104" s="205"/>
      <c r="B104" s="210" t="s">
        <v>570</v>
      </c>
      <c r="C104" s="207">
        <v>8.3000000000000001E-3</v>
      </c>
      <c r="D104" s="428" t="s">
        <v>25</v>
      </c>
      <c r="E104" s="216">
        <f>+E94</f>
        <v>2270.68345323741</v>
      </c>
      <c r="F104" s="209">
        <f t="shared" ref="F104:F106" si="9">+C104*E104</f>
        <v>18.846672661870503</v>
      </c>
      <c r="G104" s="201"/>
      <c r="H104" s="201"/>
      <c r="I104" s="201"/>
      <c r="J104" s="201"/>
      <c r="K104" s="427"/>
      <c r="L104" s="201"/>
      <c r="M104" s="201"/>
    </row>
    <row r="105" spans="1:13" s="202" customFormat="1">
      <c r="A105" s="205"/>
      <c r="B105" s="210" t="s">
        <v>571</v>
      </c>
      <c r="C105" s="207">
        <v>0.21800000000000003</v>
      </c>
      <c r="D105" s="428" t="s">
        <v>10</v>
      </c>
      <c r="E105" s="208">
        <v>57.49</v>
      </c>
      <c r="F105" s="209">
        <f t="shared" si="9"/>
        <v>12.532820000000003</v>
      </c>
      <c r="G105" s="201"/>
      <c r="H105" s="201"/>
      <c r="I105" s="201"/>
      <c r="J105" s="201"/>
      <c r="K105" s="427"/>
      <c r="L105" s="201"/>
      <c r="M105" s="201"/>
    </row>
    <row r="106" spans="1:13" s="202" customFormat="1">
      <c r="A106" s="205"/>
      <c r="B106" s="210" t="s">
        <v>568</v>
      </c>
      <c r="C106" s="207">
        <v>1</v>
      </c>
      <c r="D106" s="428" t="s">
        <v>59</v>
      </c>
      <c r="E106" s="208">
        <v>155</v>
      </c>
      <c r="F106" s="209">
        <f t="shared" si="9"/>
        <v>155</v>
      </c>
      <c r="G106" s="201"/>
      <c r="H106" s="201"/>
      <c r="I106" s="201"/>
      <c r="J106" s="201"/>
      <c r="K106" s="427"/>
      <c r="L106" s="201"/>
      <c r="M106" s="201"/>
    </row>
    <row r="107" spans="1:13" s="202" customFormat="1">
      <c r="A107" s="205"/>
      <c r="B107" s="210"/>
      <c r="C107" s="207"/>
      <c r="D107" s="428"/>
      <c r="E107" s="208"/>
      <c r="F107" s="209"/>
      <c r="G107" s="201"/>
      <c r="H107" s="201"/>
      <c r="I107" s="201"/>
      <c r="J107" s="201"/>
      <c r="K107" s="427"/>
      <c r="L107" s="201"/>
      <c r="M107" s="201"/>
    </row>
    <row r="108" spans="1:13">
      <c r="A108" s="198"/>
      <c r="B108" s="198" t="s">
        <v>548</v>
      </c>
      <c r="C108" s="199"/>
      <c r="D108" s="426"/>
      <c r="E108" s="199"/>
      <c r="F108" s="197">
        <f>SUM(F104:F107)</f>
        <v>186.3794926618705</v>
      </c>
    </row>
    <row r="110" spans="1:13">
      <c r="A110" s="199"/>
      <c r="B110" s="198" t="s">
        <v>773</v>
      </c>
      <c r="C110" s="199"/>
      <c r="D110" s="426"/>
      <c r="E110" s="199"/>
      <c r="F110" s="199"/>
      <c r="H110" s="198" t="s">
        <v>531</v>
      </c>
      <c r="I110" s="199"/>
      <c r="J110" s="199"/>
      <c r="K110" s="426"/>
      <c r="L110" s="199"/>
    </row>
    <row r="111" spans="1:13">
      <c r="A111" s="213"/>
      <c r="B111" s="214"/>
      <c r="C111" s="214"/>
      <c r="D111" s="429"/>
      <c r="E111" s="214"/>
      <c r="F111" s="215"/>
      <c r="H111" s="214"/>
      <c r="I111" s="214"/>
      <c r="J111" s="214"/>
      <c r="K111" s="429"/>
      <c r="L111" s="215"/>
    </row>
    <row r="112" spans="1:13">
      <c r="A112" s="205"/>
      <c r="B112" s="210" t="s">
        <v>578</v>
      </c>
      <c r="C112" s="207">
        <v>13</v>
      </c>
      <c r="D112" s="428" t="s">
        <v>29</v>
      </c>
      <c r="E112" s="208">
        <v>37.949999999999996</v>
      </c>
      <c r="F112" s="209">
        <f t="shared" ref="F112:F118" si="10">+C112*E112</f>
        <v>493.34999999999997</v>
      </c>
      <c r="H112" s="210" t="s">
        <v>533</v>
      </c>
      <c r="I112" s="207">
        <v>13</v>
      </c>
      <c r="J112" s="206" t="s">
        <v>29</v>
      </c>
      <c r="K112" s="438">
        <f>E27</f>
        <v>29.9</v>
      </c>
      <c r="L112" s="209">
        <f t="shared" ref="L112:L113" si="11">+I112*K112</f>
        <v>388.7</v>
      </c>
    </row>
    <row r="113" spans="1:12">
      <c r="A113" s="205"/>
      <c r="B113" s="210" t="s">
        <v>535</v>
      </c>
      <c r="C113" s="207">
        <v>3.5000000000000003E-2</v>
      </c>
      <c r="D113" s="428" t="s">
        <v>25</v>
      </c>
      <c r="E113" s="216">
        <f>+E93</f>
        <v>4688.41</v>
      </c>
      <c r="F113" s="209">
        <f t="shared" si="10"/>
        <v>164.09435000000002</v>
      </c>
      <c r="H113" s="210" t="s">
        <v>535</v>
      </c>
      <c r="I113" s="207">
        <f>C113</f>
        <v>3.5000000000000003E-2</v>
      </c>
      <c r="J113" s="206" t="s">
        <v>25</v>
      </c>
      <c r="K113" s="438">
        <f t="shared" ref="K113:K118" si="12">E28</f>
        <v>4688.41</v>
      </c>
      <c r="L113" s="209">
        <f t="shared" si="11"/>
        <v>164.09435000000002</v>
      </c>
    </row>
    <row r="114" spans="1:12">
      <c r="A114" s="205"/>
      <c r="B114" s="210" t="s">
        <v>537</v>
      </c>
      <c r="C114" s="207">
        <v>0.08</v>
      </c>
      <c r="D114" s="428" t="s">
        <v>0</v>
      </c>
      <c r="E114" s="208">
        <v>2270.68345323741</v>
      </c>
      <c r="F114" s="209">
        <f t="shared" si="10"/>
        <v>181.65467625899279</v>
      </c>
      <c r="H114" s="210" t="s">
        <v>537</v>
      </c>
      <c r="I114" s="366">
        <v>0.08</v>
      </c>
      <c r="J114" s="206" t="s">
        <v>0</v>
      </c>
      <c r="K114" s="438">
        <f t="shared" si="12"/>
        <v>2270.68345323741</v>
      </c>
      <c r="L114" s="209">
        <f>+I114*K114</f>
        <v>181.65467625899279</v>
      </c>
    </row>
    <row r="115" spans="1:12">
      <c r="A115" s="205"/>
      <c r="B115" s="210" t="s">
        <v>539</v>
      </c>
      <c r="C115" s="207">
        <v>3.5000000000000003E-2</v>
      </c>
      <c r="D115" s="428" t="s">
        <v>25</v>
      </c>
      <c r="E115" s="208">
        <v>3748</v>
      </c>
      <c r="F115" s="209">
        <f t="shared" si="10"/>
        <v>131.18</v>
      </c>
      <c r="H115" s="210" t="s">
        <v>539</v>
      </c>
      <c r="I115" s="207">
        <f>C127</f>
        <v>2.5000000000000001E-2</v>
      </c>
      <c r="J115" s="206" t="s">
        <v>25</v>
      </c>
      <c r="K115" s="438">
        <f t="shared" si="12"/>
        <v>3748</v>
      </c>
      <c r="L115" s="209">
        <f t="shared" ref="L115:L118" si="13">+I115*K115</f>
        <v>93.7</v>
      </c>
    </row>
    <row r="116" spans="1:12">
      <c r="A116" s="205"/>
      <c r="B116" s="210" t="s">
        <v>541</v>
      </c>
      <c r="C116" s="207">
        <v>1</v>
      </c>
      <c r="D116" s="428" t="s">
        <v>39</v>
      </c>
      <c r="E116" s="208">
        <v>55</v>
      </c>
      <c r="F116" s="209">
        <f t="shared" si="10"/>
        <v>55</v>
      </c>
      <c r="H116" s="210" t="s">
        <v>541</v>
      </c>
      <c r="I116" s="207">
        <v>1</v>
      </c>
      <c r="J116" s="206" t="s">
        <v>39</v>
      </c>
      <c r="K116" s="438">
        <f t="shared" si="12"/>
        <v>55</v>
      </c>
      <c r="L116" s="209">
        <f t="shared" si="13"/>
        <v>55</v>
      </c>
    </row>
    <row r="117" spans="1:12">
      <c r="A117" s="205"/>
      <c r="B117" s="210" t="s">
        <v>544</v>
      </c>
      <c r="C117" s="207">
        <v>6</v>
      </c>
      <c r="D117" s="428" t="s">
        <v>29</v>
      </c>
      <c r="E117" s="208">
        <v>0.34</v>
      </c>
      <c r="F117" s="209">
        <f t="shared" si="10"/>
        <v>2.04</v>
      </c>
      <c r="H117" s="210" t="s">
        <v>544</v>
      </c>
      <c r="I117" s="207">
        <v>6</v>
      </c>
      <c r="J117" s="206" t="s">
        <v>29</v>
      </c>
      <c r="K117" s="438">
        <f t="shared" si="12"/>
        <v>0.34</v>
      </c>
      <c r="L117" s="209">
        <f t="shared" si="13"/>
        <v>2.04</v>
      </c>
    </row>
    <row r="118" spans="1:12">
      <c r="A118" s="205"/>
      <c r="B118" s="210" t="s">
        <v>545</v>
      </c>
      <c r="C118" s="207">
        <v>13</v>
      </c>
      <c r="D118" s="428" t="s">
        <v>29</v>
      </c>
      <c r="E118" s="208">
        <v>25</v>
      </c>
      <c r="F118" s="209">
        <f t="shared" si="10"/>
        <v>325</v>
      </c>
      <c r="H118" s="210" t="s">
        <v>545</v>
      </c>
      <c r="I118" s="207">
        <v>13</v>
      </c>
      <c r="J118" s="206" t="s">
        <v>29</v>
      </c>
      <c r="K118" s="438">
        <f t="shared" si="12"/>
        <v>25</v>
      </c>
      <c r="L118" s="209">
        <f t="shared" si="13"/>
        <v>325</v>
      </c>
    </row>
    <row r="119" spans="1:12">
      <c r="A119" s="205"/>
      <c r="B119" s="210"/>
      <c r="C119" s="207"/>
      <c r="D119" s="428"/>
      <c r="E119" s="208"/>
      <c r="F119" s="209"/>
    </row>
    <row r="120" spans="1:12">
      <c r="A120" s="198"/>
      <c r="B120" s="198" t="s">
        <v>548</v>
      </c>
      <c r="C120" s="199"/>
      <c r="D120" s="426"/>
      <c r="E120" s="199"/>
      <c r="F120" s="197">
        <f>SUM(F112:F119)</f>
        <v>1352.3190262589928</v>
      </c>
      <c r="H120" s="198" t="s">
        <v>548</v>
      </c>
      <c r="I120" s="199"/>
      <c r="J120" s="199"/>
      <c r="K120" s="426"/>
      <c r="L120" s="197">
        <f>SUM(L112:L119)</f>
        <v>1210.1890262589927</v>
      </c>
    </row>
    <row r="122" spans="1:12">
      <c r="A122" s="199"/>
      <c r="B122" s="198" t="s">
        <v>579</v>
      </c>
      <c r="C122" s="199"/>
      <c r="D122" s="426"/>
      <c r="E122" s="199"/>
      <c r="F122" s="199"/>
      <c r="H122" s="198" t="s">
        <v>752</v>
      </c>
      <c r="I122" s="199"/>
      <c r="J122" s="199"/>
      <c r="K122" s="426"/>
      <c r="L122" s="199"/>
    </row>
    <row r="123" spans="1:12">
      <c r="A123" s="213"/>
      <c r="B123" s="214"/>
      <c r="C123" s="214"/>
      <c r="D123" s="429"/>
      <c r="E123" s="214"/>
      <c r="F123" s="215"/>
      <c r="H123" s="214"/>
      <c r="I123" s="214"/>
      <c r="J123" s="214"/>
      <c r="K123" s="429"/>
      <c r="L123" s="215"/>
    </row>
    <row r="124" spans="1:12">
      <c r="A124" s="205"/>
      <c r="B124" s="210" t="s">
        <v>578</v>
      </c>
      <c r="C124" s="207">
        <v>13</v>
      </c>
      <c r="D124" s="428" t="s">
        <v>29</v>
      </c>
      <c r="E124" s="208">
        <v>37.949999999999996</v>
      </c>
      <c r="F124" s="209">
        <f t="shared" ref="F124:F130" si="14">+C124*E124</f>
        <v>493.34999999999997</v>
      </c>
      <c r="H124" s="210" t="s">
        <v>578</v>
      </c>
      <c r="I124" s="207">
        <v>13</v>
      </c>
      <c r="J124" s="206" t="s">
        <v>29</v>
      </c>
      <c r="K124" s="438">
        <f>E124</f>
        <v>37.949999999999996</v>
      </c>
      <c r="L124" s="209">
        <f t="shared" ref="L124:L130" si="15">+I124*K124</f>
        <v>493.34999999999997</v>
      </c>
    </row>
    <row r="125" spans="1:12">
      <c r="A125" s="205"/>
      <c r="B125" s="210" t="s">
        <v>535</v>
      </c>
      <c r="C125" s="207">
        <v>3.5000000000000003E-2</v>
      </c>
      <c r="D125" s="428" t="s">
        <v>25</v>
      </c>
      <c r="E125" s="216">
        <f>+E113</f>
        <v>4688.41</v>
      </c>
      <c r="F125" s="209">
        <f t="shared" si="14"/>
        <v>164.09435000000002</v>
      </c>
      <c r="H125" s="210" t="s">
        <v>535</v>
      </c>
      <c r="I125" s="207">
        <v>3.5000000000000003E-2</v>
      </c>
      <c r="J125" s="206" t="s">
        <v>25</v>
      </c>
      <c r="K125" s="439">
        <f>E125</f>
        <v>4688.41</v>
      </c>
      <c r="L125" s="209">
        <f t="shared" si="15"/>
        <v>164.09435000000002</v>
      </c>
    </row>
    <row r="126" spans="1:12">
      <c r="A126" s="205"/>
      <c r="B126" s="210" t="s">
        <v>537</v>
      </c>
      <c r="C126" s="207">
        <v>3.2000000000000001E-2</v>
      </c>
      <c r="D126" s="428" t="s">
        <v>0</v>
      </c>
      <c r="E126" s="208">
        <v>2270.68345323741</v>
      </c>
      <c r="F126" s="209">
        <f t="shared" si="14"/>
        <v>72.661870503597129</v>
      </c>
      <c r="H126" s="210" t="s">
        <v>537</v>
      </c>
      <c r="I126" s="366">
        <v>0.08</v>
      </c>
      <c r="J126" s="206" t="s">
        <v>0</v>
      </c>
      <c r="K126" s="439">
        <f t="shared" ref="K126:K130" si="16">E126</f>
        <v>2270.68345323741</v>
      </c>
      <c r="L126" s="209">
        <f t="shared" si="15"/>
        <v>181.65467625899279</v>
      </c>
    </row>
    <row r="127" spans="1:12">
      <c r="A127" s="205"/>
      <c r="B127" s="210" t="s">
        <v>539</v>
      </c>
      <c r="C127" s="207">
        <v>2.5000000000000001E-2</v>
      </c>
      <c r="D127" s="428" t="s">
        <v>25</v>
      </c>
      <c r="E127" s="208">
        <v>3748</v>
      </c>
      <c r="F127" s="209">
        <f t="shared" si="14"/>
        <v>93.7</v>
      </c>
      <c r="H127" s="210" t="s">
        <v>539</v>
      </c>
      <c r="I127" s="207">
        <v>2.5000000000000001E-2</v>
      </c>
      <c r="J127" s="206" t="s">
        <v>25</v>
      </c>
      <c r="K127" s="439">
        <f t="shared" si="16"/>
        <v>3748</v>
      </c>
      <c r="L127" s="209">
        <f t="shared" si="15"/>
        <v>93.7</v>
      </c>
    </row>
    <row r="128" spans="1:12">
      <c r="A128" s="205"/>
      <c r="B128" s="210" t="s">
        <v>541</v>
      </c>
      <c r="C128" s="207">
        <v>1</v>
      </c>
      <c r="D128" s="428" t="s">
        <v>39</v>
      </c>
      <c r="E128" s="208">
        <v>55</v>
      </c>
      <c r="F128" s="209">
        <f t="shared" si="14"/>
        <v>55</v>
      </c>
      <c r="H128" s="210" t="s">
        <v>541</v>
      </c>
      <c r="I128" s="207">
        <v>1</v>
      </c>
      <c r="J128" s="206" t="s">
        <v>39</v>
      </c>
      <c r="K128" s="439">
        <f t="shared" si="16"/>
        <v>55</v>
      </c>
      <c r="L128" s="209">
        <f t="shared" si="15"/>
        <v>55</v>
      </c>
    </row>
    <row r="129" spans="1:12">
      <c r="A129" s="205"/>
      <c r="B129" s="210" t="s">
        <v>544</v>
      </c>
      <c r="C129" s="207">
        <v>6</v>
      </c>
      <c r="D129" s="428" t="s">
        <v>29</v>
      </c>
      <c r="E129" s="208">
        <v>0.34</v>
      </c>
      <c r="F129" s="209">
        <f t="shared" si="14"/>
        <v>2.04</v>
      </c>
      <c r="H129" s="210" t="s">
        <v>544</v>
      </c>
      <c r="I129" s="207">
        <v>6</v>
      </c>
      <c r="J129" s="206" t="s">
        <v>29</v>
      </c>
      <c r="K129" s="439">
        <f t="shared" si="16"/>
        <v>0.34</v>
      </c>
      <c r="L129" s="209">
        <f t="shared" si="15"/>
        <v>2.04</v>
      </c>
    </row>
    <row r="130" spans="1:12">
      <c r="A130" s="205"/>
      <c r="B130" s="210" t="s">
        <v>545</v>
      </c>
      <c r="C130" s="207">
        <v>13</v>
      </c>
      <c r="D130" s="428" t="s">
        <v>29</v>
      </c>
      <c r="E130" s="208">
        <v>18</v>
      </c>
      <c r="F130" s="209">
        <f t="shared" si="14"/>
        <v>234</v>
      </c>
      <c r="H130" s="210" t="s">
        <v>545</v>
      </c>
      <c r="I130" s="207">
        <v>13</v>
      </c>
      <c r="J130" s="206" t="s">
        <v>29</v>
      </c>
      <c r="K130" s="439">
        <f t="shared" si="16"/>
        <v>18</v>
      </c>
      <c r="L130" s="209">
        <f t="shared" si="15"/>
        <v>234</v>
      </c>
    </row>
    <row r="131" spans="1:12">
      <c r="A131" s="205"/>
      <c r="B131" s="210"/>
      <c r="C131" s="207"/>
      <c r="D131" s="428"/>
      <c r="E131" s="208"/>
      <c r="F131" s="209"/>
      <c r="H131" s="210"/>
      <c r="I131" s="207"/>
      <c r="J131" s="206"/>
      <c r="K131" s="438"/>
      <c r="L131" s="209"/>
    </row>
    <row r="132" spans="1:12">
      <c r="A132" s="198"/>
      <c r="B132" s="198" t="s">
        <v>548</v>
      </c>
      <c r="C132" s="199"/>
      <c r="D132" s="426"/>
      <c r="E132" s="199"/>
      <c r="F132" s="197">
        <f>SUM(F124:F131)</f>
        <v>1114.8462205035971</v>
      </c>
      <c r="H132" s="198" t="s">
        <v>548</v>
      </c>
      <c r="I132" s="199"/>
      <c r="J132" s="199"/>
      <c r="K132" s="426"/>
      <c r="L132" s="197">
        <f>SUM(L124:L131)</f>
        <v>1223.8390262589928</v>
      </c>
    </row>
    <row r="134" spans="1:12">
      <c r="A134" s="199"/>
      <c r="B134" s="198" t="s">
        <v>580</v>
      </c>
      <c r="C134" s="199"/>
      <c r="D134" s="426"/>
      <c r="E134" s="199"/>
      <c r="F134" s="199"/>
    </row>
    <row r="135" spans="1:12">
      <c r="A135" s="213"/>
      <c r="B135" s="214"/>
      <c r="C135" s="214"/>
      <c r="D135" s="429"/>
      <c r="E135" s="214"/>
      <c r="F135" s="215"/>
      <c r="G135" s="199"/>
      <c r="H135" s="198" t="s">
        <v>776</v>
      </c>
      <c r="I135" s="199"/>
      <c r="J135" s="199"/>
      <c r="K135" s="426"/>
      <c r="L135" s="199"/>
    </row>
    <row r="136" spans="1:12">
      <c r="A136" s="205"/>
      <c r="B136" s="210" t="s">
        <v>581</v>
      </c>
      <c r="C136" s="207">
        <v>13</v>
      </c>
      <c r="D136" s="428" t="s">
        <v>29</v>
      </c>
      <c r="E136" s="208">
        <v>50</v>
      </c>
      <c r="F136" s="209">
        <f t="shared" ref="F136:F142" si="17">+C136*E136</f>
        <v>650</v>
      </c>
      <c r="G136" s="213"/>
      <c r="H136" s="214"/>
      <c r="I136" s="214"/>
      <c r="J136" s="214"/>
      <c r="K136" s="429"/>
      <c r="L136" s="215"/>
    </row>
    <row r="137" spans="1:12">
      <c r="A137" s="205"/>
      <c r="B137" s="210" t="s">
        <v>535</v>
      </c>
      <c r="C137" s="207">
        <v>3.5000000000000003E-2</v>
      </c>
      <c r="D137" s="428" t="s">
        <v>25</v>
      </c>
      <c r="E137" s="216">
        <f>+E125</f>
        <v>4688.41</v>
      </c>
      <c r="F137" s="209">
        <f t="shared" si="17"/>
        <v>164.09435000000002</v>
      </c>
      <c r="G137" s="205"/>
      <c r="H137" s="210" t="s">
        <v>533</v>
      </c>
      <c r="I137" s="207">
        <v>13</v>
      </c>
      <c r="J137" s="206" t="s">
        <v>29</v>
      </c>
      <c r="K137" s="438">
        <f>K112</f>
        <v>29.9</v>
      </c>
      <c r="L137" s="209">
        <f t="shared" ref="L137:L143" si="18">+I137*K137</f>
        <v>388.7</v>
      </c>
    </row>
    <row r="138" spans="1:12">
      <c r="A138" s="205"/>
      <c r="B138" s="210" t="s">
        <v>537</v>
      </c>
      <c r="C138" s="207">
        <v>0.08</v>
      </c>
      <c r="D138" s="428" t="s">
        <v>0</v>
      </c>
      <c r="E138" s="208">
        <f>+E126</f>
        <v>2270.68345323741</v>
      </c>
      <c r="F138" s="209">
        <f t="shared" si="17"/>
        <v>181.65467625899279</v>
      </c>
      <c r="G138" s="205"/>
      <c r="H138" s="210" t="s">
        <v>535</v>
      </c>
      <c r="I138" s="207">
        <v>3.5000000000000003E-2</v>
      </c>
      <c r="J138" s="206" t="s">
        <v>25</v>
      </c>
      <c r="K138" s="439">
        <f>K113</f>
        <v>4688.41</v>
      </c>
      <c r="L138" s="209">
        <f t="shared" si="18"/>
        <v>164.09435000000002</v>
      </c>
    </row>
    <row r="139" spans="1:12">
      <c r="A139" s="205"/>
      <c r="B139" s="210" t="s">
        <v>539</v>
      </c>
      <c r="C139" s="207">
        <v>2.5000000000000001E-2</v>
      </c>
      <c r="D139" s="428" t="s">
        <v>25</v>
      </c>
      <c r="E139" s="208">
        <v>3748</v>
      </c>
      <c r="F139" s="209">
        <f t="shared" si="17"/>
        <v>93.7</v>
      </c>
      <c r="G139" s="205"/>
      <c r="H139" s="210" t="s">
        <v>537</v>
      </c>
      <c r="I139" s="207">
        <v>3.2000000000000001E-2</v>
      </c>
      <c r="J139" s="206" t="s">
        <v>0</v>
      </c>
      <c r="K139" s="438">
        <f>E138</f>
        <v>2270.68345323741</v>
      </c>
      <c r="L139" s="209">
        <f t="shared" si="18"/>
        <v>72.661870503597129</v>
      </c>
    </row>
    <row r="140" spans="1:12">
      <c r="A140" s="205"/>
      <c r="B140" s="210" t="s">
        <v>541</v>
      </c>
      <c r="C140" s="207">
        <v>1</v>
      </c>
      <c r="D140" s="428" t="s">
        <v>39</v>
      </c>
      <c r="E140" s="208">
        <v>55</v>
      </c>
      <c r="F140" s="209">
        <f t="shared" si="17"/>
        <v>55</v>
      </c>
      <c r="G140" s="205"/>
      <c r="H140" s="210" t="s">
        <v>539</v>
      </c>
      <c r="I140" s="207">
        <v>2.5000000000000001E-2</v>
      </c>
      <c r="J140" s="206" t="s">
        <v>25</v>
      </c>
      <c r="K140" s="438">
        <v>3748</v>
      </c>
      <c r="L140" s="209">
        <f t="shared" si="18"/>
        <v>93.7</v>
      </c>
    </row>
    <row r="141" spans="1:12">
      <c r="A141" s="205"/>
      <c r="B141" s="210" t="s">
        <v>544</v>
      </c>
      <c r="C141" s="207">
        <v>6</v>
      </c>
      <c r="D141" s="428" t="s">
        <v>29</v>
      </c>
      <c r="E141" s="208">
        <v>0.34</v>
      </c>
      <c r="F141" s="209">
        <f t="shared" si="17"/>
        <v>2.04</v>
      </c>
      <c r="G141" s="205"/>
      <c r="H141" s="210" t="s">
        <v>541</v>
      </c>
      <c r="I141" s="207">
        <v>1</v>
      </c>
      <c r="J141" s="206" t="s">
        <v>39</v>
      </c>
      <c r="K141" s="438">
        <v>55</v>
      </c>
      <c r="L141" s="209">
        <f t="shared" si="18"/>
        <v>55</v>
      </c>
    </row>
    <row r="142" spans="1:12">
      <c r="A142" s="205"/>
      <c r="B142" s="210" t="s">
        <v>545</v>
      </c>
      <c r="C142" s="207">
        <v>13</v>
      </c>
      <c r="D142" s="428" t="s">
        <v>29</v>
      </c>
      <c r="E142" s="208">
        <v>18</v>
      </c>
      <c r="F142" s="209">
        <f t="shared" si="17"/>
        <v>234</v>
      </c>
      <c r="G142" s="205"/>
      <c r="H142" s="210" t="s">
        <v>544</v>
      </c>
      <c r="I142" s="207">
        <v>6</v>
      </c>
      <c r="J142" s="206" t="s">
        <v>29</v>
      </c>
      <c r="K142" s="438">
        <v>0.34</v>
      </c>
      <c r="L142" s="209">
        <f t="shared" si="18"/>
        <v>2.04</v>
      </c>
    </row>
    <row r="143" spans="1:12">
      <c r="A143" s="205"/>
      <c r="B143" s="210"/>
      <c r="C143" s="207"/>
      <c r="D143" s="428"/>
      <c r="E143" s="208"/>
      <c r="F143" s="209"/>
      <c r="G143" s="205"/>
      <c r="H143" s="210" t="s">
        <v>545</v>
      </c>
      <c r="I143" s="207">
        <v>13</v>
      </c>
      <c r="J143" s="206" t="s">
        <v>29</v>
      </c>
      <c r="K143" s="438">
        <v>18</v>
      </c>
      <c r="L143" s="209">
        <f t="shared" si="18"/>
        <v>234</v>
      </c>
    </row>
    <row r="144" spans="1:12">
      <c r="A144" s="198"/>
      <c r="B144" s="198" t="s">
        <v>548</v>
      </c>
      <c r="C144" s="199"/>
      <c r="D144" s="426"/>
      <c r="E144" s="199"/>
      <c r="F144" s="197">
        <f>SUM(F136:F143)</f>
        <v>1380.4890262589929</v>
      </c>
      <c r="G144" s="205"/>
      <c r="H144" s="210"/>
      <c r="I144" s="207"/>
      <c r="J144" s="206"/>
      <c r="K144" s="438"/>
      <c r="L144" s="209"/>
    </row>
    <row r="145" spans="1:12">
      <c r="G145" s="198"/>
      <c r="H145" s="198" t="s">
        <v>548</v>
      </c>
      <c r="I145" s="199"/>
      <c r="J145" s="199"/>
      <c r="K145" s="426"/>
      <c r="L145" s="197">
        <f>SUM(L137:L144)</f>
        <v>1010.1962205035971</v>
      </c>
    </row>
    <row r="146" spans="1:12">
      <c r="A146" s="199"/>
      <c r="B146" s="198" t="s">
        <v>582</v>
      </c>
      <c r="C146" s="199"/>
      <c r="D146" s="426"/>
      <c r="E146" s="199"/>
      <c r="F146" s="199"/>
    </row>
    <row r="147" spans="1:12">
      <c r="A147" s="213"/>
      <c r="B147" s="214"/>
      <c r="C147" s="214"/>
      <c r="D147" s="429"/>
      <c r="E147" s="214"/>
      <c r="F147" s="215"/>
    </row>
    <row r="148" spans="1:12">
      <c r="A148" s="205"/>
      <c r="B148" s="210" t="s">
        <v>583</v>
      </c>
      <c r="C148" s="207">
        <v>13</v>
      </c>
      <c r="D148" s="428" t="s">
        <v>29</v>
      </c>
      <c r="E148" s="208">
        <v>37.949999999999996</v>
      </c>
      <c r="F148" s="209">
        <f t="shared" ref="F148:F154" si="19">+C148*E148</f>
        <v>493.34999999999997</v>
      </c>
    </row>
    <row r="149" spans="1:12">
      <c r="A149" s="205"/>
      <c r="B149" s="210" t="s">
        <v>535</v>
      </c>
      <c r="C149" s="207">
        <v>3.5000000000000003E-2</v>
      </c>
      <c r="D149" s="428" t="s">
        <v>25</v>
      </c>
      <c r="E149" s="216">
        <f>+E137</f>
        <v>4688.41</v>
      </c>
      <c r="F149" s="209">
        <f t="shared" si="19"/>
        <v>164.09435000000002</v>
      </c>
    </row>
    <row r="150" spans="1:12">
      <c r="A150" s="205"/>
      <c r="B150" s="210" t="s">
        <v>537</v>
      </c>
      <c r="C150" s="207">
        <v>0.08</v>
      </c>
      <c r="D150" s="428" t="s">
        <v>0</v>
      </c>
      <c r="E150" s="208">
        <f>+E138</f>
        <v>2270.68345323741</v>
      </c>
      <c r="F150" s="209">
        <f t="shared" si="19"/>
        <v>181.65467625899279</v>
      </c>
    </row>
    <row r="151" spans="1:12">
      <c r="A151" s="205"/>
      <c r="B151" s="210" t="s">
        <v>539</v>
      </c>
      <c r="C151" s="207">
        <v>2.5000000000000001E-2</v>
      </c>
      <c r="D151" s="428" t="s">
        <v>25</v>
      </c>
      <c r="E151" s="208">
        <v>3748</v>
      </c>
      <c r="F151" s="209">
        <f t="shared" si="19"/>
        <v>93.7</v>
      </c>
    </row>
    <row r="152" spans="1:12">
      <c r="A152" s="205"/>
      <c r="B152" s="210" t="s">
        <v>541</v>
      </c>
      <c r="C152" s="207">
        <v>1</v>
      </c>
      <c r="D152" s="428" t="s">
        <v>39</v>
      </c>
      <c r="E152" s="208">
        <v>55</v>
      </c>
      <c r="F152" s="209">
        <f t="shared" si="19"/>
        <v>55</v>
      </c>
    </row>
    <row r="153" spans="1:12">
      <c r="A153" s="205"/>
      <c r="B153" s="210" t="s">
        <v>544</v>
      </c>
      <c r="C153" s="207">
        <v>6</v>
      </c>
      <c r="D153" s="428" t="s">
        <v>29</v>
      </c>
      <c r="E153" s="208">
        <v>0.34</v>
      </c>
      <c r="F153" s="209">
        <f t="shared" si="19"/>
        <v>2.04</v>
      </c>
    </row>
    <row r="154" spans="1:12">
      <c r="A154" s="205"/>
      <c r="B154" s="210" t="s">
        <v>545</v>
      </c>
      <c r="C154" s="207">
        <v>13</v>
      </c>
      <c r="D154" s="428" t="s">
        <v>29</v>
      </c>
      <c r="E154" s="208">
        <v>35</v>
      </c>
      <c r="F154" s="209">
        <f t="shared" si="19"/>
        <v>455</v>
      </c>
    </row>
    <row r="155" spans="1:12">
      <c r="A155" s="205"/>
      <c r="B155" s="210"/>
      <c r="C155" s="207"/>
      <c r="D155" s="428"/>
      <c r="E155" s="208"/>
      <c r="F155" s="209"/>
    </row>
    <row r="156" spans="1:12">
      <c r="A156" s="198"/>
      <c r="B156" s="198" t="s">
        <v>548</v>
      </c>
      <c r="C156" s="199"/>
      <c r="D156" s="426"/>
      <c r="E156" s="199"/>
      <c r="F156" s="197">
        <f>SUM(F148:F155)</f>
        <v>1444.8390262589928</v>
      </c>
    </row>
    <row r="159" spans="1:12">
      <c r="A159" s="199"/>
      <c r="B159" s="198" t="s">
        <v>584</v>
      </c>
      <c r="C159" s="199"/>
      <c r="D159" s="426"/>
      <c r="E159" s="199"/>
      <c r="F159" s="199"/>
    </row>
    <row r="160" spans="1:12">
      <c r="A160" s="213"/>
      <c r="B160" s="214"/>
      <c r="C160" s="214"/>
      <c r="D160" s="429"/>
      <c r="E160" s="214"/>
      <c r="F160" s="215"/>
    </row>
    <row r="161" spans="1:13">
      <c r="A161" s="205"/>
      <c r="B161" s="210" t="s">
        <v>585</v>
      </c>
      <c r="C161" s="207">
        <f>9*16</f>
        <v>144</v>
      </c>
      <c r="D161" s="428" t="s">
        <v>586</v>
      </c>
      <c r="E161" s="208">
        <f>400*6</f>
        <v>2400</v>
      </c>
      <c r="F161" s="209">
        <f t="shared" ref="F161:F163" si="20">+C161*E161</f>
        <v>345600</v>
      </c>
    </row>
    <row r="162" spans="1:13">
      <c r="A162" s="205"/>
      <c r="B162" s="210" t="s">
        <v>587</v>
      </c>
      <c r="C162" s="207">
        <v>9</v>
      </c>
      <c r="D162" s="428" t="s">
        <v>188</v>
      </c>
      <c r="E162" s="208">
        <f>7800*26</f>
        <v>202800</v>
      </c>
      <c r="F162" s="209">
        <f t="shared" si="20"/>
        <v>1825200</v>
      </c>
    </row>
    <row r="163" spans="1:13">
      <c r="A163" s="205"/>
      <c r="B163" s="210" t="s">
        <v>588</v>
      </c>
      <c r="C163" s="207">
        <v>9490</v>
      </c>
      <c r="D163" s="428" t="s">
        <v>11</v>
      </c>
      <c r="E163" s="208">
        <v>95</v>
      </c>
      <c r="F163" s="209">
        <f t="shared" si="20"/>
        <v>901550</v>
      </c>
      <c r="H163" s="199"/>
      <c r="I163" s="364" t="s">
        <v>951</v>
      </c>
      <c r="J163" s="199"/>
      <c r="K163" s="426"/>
      <c r="L163" s="199"/>
      <c r="M163" s="199"/>
    </row>
    <row r="164" spans="1:13">
      <c r="A164" s="205"/>
      <c r="B164" s="210"/>
      <c r="C164" s="207"/>
      <c r="D164" s="428"/>
      <c r="E164" s="208"/>
      <c r="F164" s="209"/>
      <c r="H164" s="213"/>
      <c r="I164" s="214"/>
      <c r="J164" s="214"/>
      <c r="K164" s="429"/>
      <c r="L164" s="214"/>
      <c r="M164" s="215"/>
    </row>
    <row r="165" spans="1:13">
      <c r="A165" s="198"/>
      <c r="B165" s="198" t="s">
        <v>548</v>
      </c>
      <c r="C165" s="199"/>
      <c r="D165" s="426"/>
      <c r="E165" s="199"/>
      <c r="F165" s="197">
        <f>SUM(F161:F164)</f>
        <v>3072350</v>
      </c>
      <c r="H165" s="205"/>
      <c r="I165" s="219" t="s">
        <v>593</v>
      </c>
      <c r="J165" s="219">
        <v>1.05</v>
      </c>
      <c r="K165" s="427" t="s">
        <v>25</v>
      </c>
      <c r="L165" s="208" t="e">
        <f>L197</f>
        <v>#REF!</v>
      </c>
      <c r="M165" s="209" t="e">
        <f t="shared" ref="M165:M168" si="21">+J165*L165</f>
        <v>#REF!</v>
      </c>
    </row>
    <row r="166" spans="1:13">
      <c r="H166" s="205"/>
      <c r="I166" s="219" t="s">
        <v>43</v>
      </c>
      <c r="J166" s="219" t="e">
        <f>#REF!</f>
        <v>#REF!</v>
      </c>
      <c r="K166" s="427" t="s">
        <v>13</v>
      </c>
      <c r="L166" s="208" t="e">
        <f t="shared" ref="L166:L168" si="22">L198</f>
        <v>#REF!</v>
      </c>
      <c r="M166" s="209" t="e">
        <f t="shared" si="21"/>
        <v>#REF!</v>
      </c>
    </row>
    <row r="167" spans="1:13">
      <c r="H167" s="205"/>
      <c r="I167" s="201" t="s">
        <v>800</v>
      </c>
      <c r="J167" s="219" t="e">
        <f>SUM(J166:J166)*2</f>
        <v>#REF!</v>
      </c>
      <c r="K167" s="427" t="s">
        <v>15</v>
      </c>
      <c r="L167" s="208" t="e">
        <f t="shared" si="22"/>
        <v>#REF!</v>
      </c>
      <c r="M167" s="209" t="e">
        <f t="shared" si="21"/>
        <v>#REF!</v>
      </c>
    </row>
    <row r="168" spans="1:13">
      <c r="A168" s="199"/>
      <c r="B168" s="198" t="s">
        <v>589</v>
      </c>
      <c r="C168" s="199"/>
      <c r="D168" s="426"/>
      <c r="E168" s="199"/>
      <c r="F168" s="199"/>
      <c r="H168" s="205"/>
      <c r="I168" s="201" t="s">
        <v>594</v>
      </c>
      <c r="J168" s="219" t="e">
        <f>SUM(J166:J166)</f>
        <v>#REF!</v>
      </c>
      <c r="K168" s="427" t="s">
        <v>13</v>
      </c>
      <c r="L168" s="208" t="e">
        <f t="shared" si="22"/>
        <v>#REF!</v>
      </c>
      <c r="M168" s="209" t="e">
        <f t="shared" si="21"/>
        <v>#REF!</v>
      </c>
    </row>
    <row r="169" spans="1:13">
      <c r="A169" s="213"/>
      <c r="B169" s="214"/>
      <c r="C169" s="214"/>
      <c r="D169" s="429"/>
      <c r="E169" s="214"/>
      <c r="F169" s="215"/>
      <c r="H169" s="205"/>
      <c r="I169" s="165" t="s">
        <v>42</v>
      </c>
      <c r="J169" s="166">
        <v>1</v>
      </c>
      <c r="K169" s="167" t="s">
        <v>25</v>
      </c>
      <c r="L169" s="164" t="e">
        <f>L201</f>
        <v>#REF!</v>
      </c>
      <c r="M169" s="168" t="e">
        <f t="shared" ref="M169:M170" si="23">ROUND(J169*L169,2)</f>
        <v>#REF!</v>
      </c>
    </row>
    <row r="170" spans="1:13">
      <c r="A170" s="205"/>
      <c r="B170" s="218" t="s">
        <v>590</v>
      </c>
      <c r="C170" s="207">
        <v>1.05</v>
      </c>
      <c r="D170" s="428" t="s">
        <v>108</v>
      </c>
      <c r="E170" s="208">
        <v>4681.6499999999996</v>
      </c>
      <c r="F170" s="209">
        <f t="shared" ref="F170" si="24">+C170*E170</f>
        <v>4915.7325000000001</v>
      </c>
      <c r="H170" s="205"/>
      <c r="I170" s="165" t="s">
        <v>7</v>
      </c>
      <c r="J170" s="169" t="e">
        <f>SUM(M165:M167)</f>
        <v>#REF!</v>
      </c>
      <c r="K170" s="167" t="s">
        <v>8</v>
      </c>
      <c r="L170" s="164">
        <v>0.02</v>
      </c>
      <c r="M170" s="168" t="e">
        <f t="shared" si="23"/>
        <v>#REF!</v>
      </c>
    </row>
    <row r="171" spans="1:13">
      <c r="A171" s="205"/>
      <c r="B171" s="210" t="s">
        <v>591</v>
      </c>
      <c r="C171" s="207">
        <v>1</v>
      </c>
      <c r="D171" s="428" t="s">
        <v>108</v>
      </c>
      <c r="E171" s="208">
        <v>1400</v>
      </c>
      <c r="F171" s="209">
        <f>+E171*C171</f>
        <v>1400</v>
      </c>
      <c r="H171" s="198"/>
      <c r="I171" s="198" t="s">
        <v>548</v>
      </c>
      <c r="J171" s="199"/>
      <c r="K171" s="426"/>
      <c r="L171" s="199"/>
      <c r="M171" s="197" t="e">
        <f>SUM(M165:M170)</f>
        <v>#REF!</v>
      </c>
    </row>
    <row r="172" spans="1:13">
      <c r="A172" s="205"/>
      <c r="B172" s="210"/>
      <c r="C172" s="207"/>
      <c r="D172" s="428"/>
      <c r="E172" s="208"/>
      <c r="F172" s="209"/>
    </row>
    <row r="173" spans="1:13">
      <c r="A173" s="198"/>
      <c r="B173" s="198" t="s">
        <v>548</v>
      </c>
      <c r="C173" s="199"/>
      <c r="D173" s="426"/>
      <c r="E173" s="199"/>
      <c r="F173" s="197">
        <f>SUM(F170:F172)</f>
        <v>6315.7325000000001</v>
      </c>
    </row>
    <row r="175" spans="1:13">
      <c r="A175" s="199"/>
      <c r="B175" s="228"/>
      <c r="C175" s="199"/>
      <c r="D175" s="426"/>
      <c r="E175" s="199"/>
      <c r="F175" s="199"/>
      <c r="H175" s="199"/>
      <c r="I175" s="364" t="s">
        <v>772</v>
      </c>
      <c r="J175" s="199"/>
      <c r="K175" s="426"/>
      <c r="L175" s="199"/>
      <c r="M175" s="199"/>
    </row>
    <row r="176" spans="1:13">
      <c r="A176" s="213"/>
      <c r="B176" s="214"/>
      <c r="C176" s="214"/>
      <c r="D176" s="429"/>
      <c r="E176" s="214"/>
      <c r="F176" s="215"/>
      <c r="H176" s="213"/>
      <c r="I176" s="214"/>
      <c r="J176" s="214"/>
      <c r="K176" s="429"/>
      <c r="L176" s="214"/>
      <c r="M176" s="215"/>
    </row>
    <row r="177" spans="1:13">
      <c r="A177" s="205"/>
      <c r="B177" s="219"/>
      <c r="C177" s="219"/>
      <c r="D177" s="427"/>
      <c r="E177" s="208"/>
      <c r="F177" s="209"/>
      <c r="H177" s="205"/>
      <c r="I177" s="219" t="s">
        <v>593</v>
      </c>
      <c r="J177" s="219">
        <v>1.05</v>
      </c>
      <c r="K177" s="427" t="s">
        <v>25</v>
      </c>
      <c r="L177" s="208" t="e">
        <f>#REF!</f>
        <v>#REF!</v>
      </c>
      <c r="M177" s="209" t="e">
        <f t="shared" ref="M177:M180" si="25">+J177*L177</f>
        <v>#REF!</v>
      </c>
    </row>
    <row r="178" spans="1:13">
      <c r="A178" s="205"/>
      <c r="B178" s="219"/>
      <c r="C178" s="219"/>
      <c r="D178" s="427"/>
      <c r="E178" s="216"/>
      <c r="F178" s="209"/>
      <c r="H178" s="205"/>
      <c r="I178" s="219" t="s">
        <v>43</v>
      </c>
      <c r="J178" s="365" t="e">
        <f>#REF!</f>
        <v>#REF!</v>
      </c>
      <c r="K178" s="427" t="s">
        <v>13</v>
      </c>
      <c r="L178" s="216" t="e">
        <f>#REF!</f>
        <v>#REF!</v>
      </c>
      <c r="M178" s="209" t="e">
        <f t="shared" si="25"/>
        <v>#REF!</v>
      </c>
    </row>
    <row r="179" spans="1:13">
      <c r="A179" s="205"/>
      <c r="B179" s="201"/>
      <c r="C179" s="219"/>
      <c r="D179" s="427"/>
      <c r="E179" s="208"/>
      <c r="F179" s="209"/>
      <c r="H179" s="205"/>
      <c r="I179" s="201" t="s">
        <v>800</v>
      </c>
      <c r="J179" s="219" t="e">
        <f>SUM(J178:J178)*2</f>
        <v>#REF!</v>
      </c>
      <c r="K179" s="427" t="s">
        <v>15</v>
      </c>
      <c r="L179" s="208" t="e">
        <f>#REF!</f>
        <v>#REF!</v>
      </c>
      <c r="M179" s="209" t="e">
        <f t="shared" si="25"/>
        <v>#REF!</v>
      </c>
    </row>
    <row r="180" spans="1:13">
      <c r="A180" s="205"/>
      <c r="B180" s="201"/>
      <c r="C180" s="219"/>
      <c r="D180" s="427"/>
      <c r="E180" s="208"/>
      <c r="F180" s="209"/>
      <c r="H180" s="205"/>
      <c r="I180" s="201" t="s">
        <v>594</v>
      </c>
      <c r="J180" s="219" t="e">
        <f>SUM(J178:J178)</f>
        <v>#REF!</v>
      </c>
      <c r="K180" s="427" t="s">
        <v>13</v>
      </c>
      <c r="L180" s="208" t="e">
        <f>#REF!</f>
        <v>#REF!</v>
      </c>
      <c r="M180" s="209" t="e">
        <f t="shared" si="25"/>
        <v>#REF!</v>
      </c>
    </row>
    <row r="181" spans="1:13">
      <c r="A181" s="205"/>
      <c r="B181" s="201"/>
      <c r="C181" s="219"/>
      <c r="D181" s="427"/>
      <c r="E181" s="208"/>
      <c r="F181" s="209"/>
      <c r="H181" s="205"/>
      <c r="I181" s="165" t="s">
        <v>42</v>
      </c>
      <c r="J181" s="166">
        <v>1</v>
      </c>
      <c r="K181" s="167" t="s">
        <v>25</v>
      </c>
      <c r="L181" s="164" t="e">
        <f>#REF!</f>
        <v>#REF!</v>
      </c>
      <c r="M181" s="168" t="e">
        <f t="shared" ref="M181:M182" si="26">ROUND(J181*L181,2)</f>
        <v>#REF!</v>
      </c>
    </row>
    <row r="182" spans="1:13">
      <c r="A182" s="205"/>
      <c r="B182" s="210"/>
      <c r="C182" s="207"/>
      <c r="D182" s="428"/>
      <c r="E182" s="208"/>
      <c r="F182" s="209"/>
      <c r="H182" s="205"/>
      <c r="I182" s="165" t="s">
        <v>7</v>
      </c>
      <c r="J182" s="169" t="e">
        <f>SUM(M177:M179)</f>
        <v>#REF!</v>
      </c>
      <c r="K182" s="167" t="s">
        <v>8</v>
      </c>
      <c r="L182" s="164">
        <v>0.02</v>
      </c>
      <c r="M182" s="168" t="e">
        <f t="shared" si="26"/>
        <v>#REF!</v>
      </c>
    </row>
    <row r="183" spans="1:13">
      <c r="A183" s="198"/>
      <c r="B183" s="198"/>
      <c r="C183" s="199"/>
      <c r="D183" s="426"/>
      <c r="E183" s="199"/>
      <c r="F183" s="197"/>
      <c r="H183" s="198"/>
      <c r="I183" s="198" t="s">
        <v>548</v>
      </c>
      <c r="J183" s="199"/>
      <c r="K183" s="426"/>
      <c r="L183" s="199"/>
      <c r="M183" s="197" t="e">
        <f>SUM(M177:M182)</f>
        <v>#REF!</v>
      </c>
    </row>
    <row r="185" spans="1:13">
      <c r="A185" s="199"/>
      <c r="B185" s="228"/>
      <c r="C185" s="199"/>
      <c r="D185" s="426"/>
      <c r="E185" s="199"/>
      <c r="F185" s="199"/>
      <c r="H185" s="199"/>
      <c r="I185" s="198" t="s">
        <v>595</v>
      </c>
      <c r="J185" s="199"/>
      <c r="K185" s="426"/>
      <c r="L185" s="199"/>
      <c r="M185" s="199"/>
    </row>
    <row r="186" spans="1:13">
      <c r="A186" s="213"/>
      <c r="B186" s="214"/>
      <c r="C186" s="214"/>
      <c r="D186" s="429"/>
      <c r="E186" s="214"/>
      <c r="F186" s="215"/>
      <c r="H186" s="213"/>
      <c r="I186" s="214"/>
      <c r="J186" s="214"/>
      <c r="K186" s="429"/>
      <c r="L186" s="214"/>
      <c r="M186" s="215"/>
    </row>
    <row r="187" spans="1:13">
      <c r="A187" s="205"/>
      <c r="B187" s="219"/>
      <c r="C187" s="219"/>
      <c r="D187" s="427"/>
      <c r="E187" s="208"/>
      <c r="F187" s="209"/>
      <c r="H187" s="205"/>
      <c r="I187" s="219" t="s">
        <v>593</v>
      </c>
      <c r="J187" s="219">
        <v>1.05</v>
      </c>
      <c r="K187" s="427" t="s">
        <v>25</v>
      </c>
      <c r="L187" s="208">
        <f>+E187</f>
        <v>0</v>
      </c>
      <c r="M187" s="209">
        <f t="shared" ref="M187:M191" si="27">+J187*L187</f>
        <v>0</v>
      </c>
    </row>
    <row r="188" spans="1:13">
      <c r="A188" s="205"/>
      <c r="B188" s="219"/>
      <c r="C188" s="219"/>
      <c r="D188" s="427"/>
      <c r="E188" s="216"/>
      <c r="F188" s="209"/>
      <c r="H188" s="205"/>
      <c r="I188" s="219" t="s">
        <v>43</v>
      </c>
      <c r="J188" s="219">
        <v>2.7</v>
      </c>
      <c r="K188" s="427" t="s">
        <v>13</v>
      </c>
      <c r="L188" s="216" t="e">
        <f>+L178</f>
        <v>#REF!</v>
      </c>
      <c r="M188" s="209" t="e">
        <f t="shared" si="27"/>
        <v>#REF!</v>
      </c>
    </row>
    <row r="189" spans="1:13">
      <c r="A189" s="205"/>
      <c r="B189" s="201"/>
      <c r="C189" s="219"/>
      <c r="D189" s="427"/>
      <c r="E189" s="208"/>
      <c r="F189" s="209"/>
      <c r="H189" s="205"/>
      <c r="I189" s="201" t="s">
        <v>14</v>
      </c>
      <c r="J189" s="219">
        <f>SUM(J188:J188)*2</f>
        <v>5.4</v>
      </c>
      <c r="K189" s="427" t="s">
        <v>15</v>
      </c>
      <c r="L189" s="208">
        <v>52</v>
      </c>
      <c r="M189" s="209">
        <f t="shared" si="27"/>
        <v>280.8</v>
      </c>
    </row>
    <row r="190" spans="1:13">
      <c r="A190" s="205"/>
      <c r="B190" s="201"/>
      <c r="C190" s="219"/>
      <c r="D190" s="427"/>
      <c r="E190" s="208"/>
      <c r="F190" s="209"/>
      <c r="H190" s="205"/>
      <c r="I190" s="201" t="s">
        <v>594</v>
      </c>
      <c r="J190" s="219">
        <f>SUM(J188:J188)</f>
        <v>2.7</v>
      </c>
      <c r="K190" s="427" t="s">
        <v>13</v>
      </c>
      <c r="L190" s="208">
        <v>400</v>
      </c>
      <c r="M190" s="209">
        <f t="shared" si="27"/>
        <v>1080</v>
      </c>
    </row>
    <row r="191" spans="1:13">
      <c r="A191" s="205"/>
      <c r="B191" s="201"/>
      <c r="C191" s="219"/>
      <c r="D191" s="427"/>
      <c r="E191" s="208"/>
      <c r="F191" s="209"/>
      <c r="H191" s="205"/>
      <c r="I191" s="201" t="s">
        <v>28</v>
      </c>
      <c r="J191" s="219">
        <f>+J190</f>
        <v>2.7</v>
      </c>
      <c r="K191" s="427" t="s">
        <v>13</v>
      </c>
      <c r="L191" s="208">
        <v>10</v>
      </c>
      <c r="M191" s="209">
        <f t="shared" si="27"/>
        <v>27</v>
      </c>
    </row>
    <row r="192" spans="1:13">
      <c r="A192" s="205"/>
      <c r="B192" s="210"/>
      <c r="C192" s="207"/>
      <c r="D192" s="428"/>
      <c r="E192" s="208"/>
      <c r="F192" s="209"/>
      <c r="H192" s="205"/>
      <c r="I192" s="210"/>
      <c r="J192" s="207"/>
      <c r="K192" s="428"/>
      <c r="L192" s="208"/>
      <c r="M192" s="209"/>
    </row>
    <row r="193" spans="1:13">
      <c r="A193" s="198"/>
      <c r="B193" s="198"/>
      <c r="C193" s="199"/>
      <c r="D193" s="426"/>
      <c r="E193" s="199"/>
      <c r="F193" s="197"/>
      <c r="H193" s="198"/>
      <c r="I193" s="198" t="s">
        <v>548</v>
      </c>
      <c r="J193" s="199"/>
      <c r="K193" s="426"/>
      <c r="L193" s="199"/>
      <c r="M193" s="197" t="e">
        <f>SUM(M187:M192)</f>
        <v>#REF!</v>
      </c>
    </row>
    <row r="195" spans="1:13">
      <c r="A195" s="199"/>
      <c r="B195" s="364" t="s">
        <v>642</v>
      </c>
      <c r="C195" s="199"/>
      <c r="D195" s="426"/>
      <c r="E195" s="199"/>
      <c r="F195" s="199"/>
      <c r="H195" s="199"/>
      <c r="I195" s="364" t="s">
        <v>744</v>
      </c>
      <c r="J195" s="199"/>
      <c r="K195" s="426"/>
      <c r="L195" s="199"/>
      <c r="M195" s="199"/>
    </row>
    <row r="196" spans="1:13">
      <c r="A196" s="213"/>
      <c r="B196" s="214"/>
      <c r="C196" s="214"/>
      <c r="D196" s="429"/>
      <c r="E196" s="214"/>
      <c r="F196" s="215"/>
      <c r="H196" s="213"/>
      <c r="I196" s="214"/>
      <c r="J196" s="214"/>
      <c r="K196" s="429"/>
      <c r="L196" s="214"/>
      <c r="M196" s="215"/>
    </row>
    <row r="197" spans="1:13">
      <c r="A197" s="205"/>
      <c r="B197" s="219" t="s">
        <v>593</v>
      </c>
      <c r="C197" s="219">
        <v>1.05</v>
      </c>
      <c r="D197" s="427" t="s">
        <v>25</v>
      </c>
      <c r="E197" s="208" t="e">
        <f>E207</f>
        <v>#REF!</v>
      </c>
      <c r="F197" s="209" t="e">
        <f t="shared" ref="F197:F200" si="28">+C197*E197</f>
        <v>#REF!</v>
      </c>
      <c r="H197" s="205"/>
      <c r="I197" s="219" t="s">
        <v>593</v>
      </c>
      <c r="J197" s="219">
        <v>1.05</v>
      </c>
      <c r="K197" s="427" t="s">
        <v>25</v>
      </c>
      <c r="L197" s="208" t="e">
        <f>L177</f>
        <v>#REF!</v>
      </c>
      <c r="M197" s="209" t="e">
        <f t="shared" ref="M197:M200" si="29">+J197*L197</f>
        <v>#REF!</v>
      </c>
    </row>
    <row r="198" spans="1:13">
      <c r="A198" s="205"/>
      <c r="B198" s="219" t="s">
        <v>43</v>
      </c>
      <c r="C198" s="219" t="e">
        <f>+#REF!</f>
        <v>#REF!</v>
      </c>
      <c r="D198" s="427" t="s">
        <v>13</v>
      </c>
      <c r="E198" s="216" t="e">
        <f>E208</f>
        <v>#REF!</v>
      </c>
      <c r="F198" s="209" t="e">
        <f t="shared" si="28"/>
        <v>#REF!</v>
      </c>
      <c r="H198" s="205"/>
      <c r="I198" s="219" t="s">
        <v>43</v>
      </c>
      <c r="J198" s="219" t="e">
        <f>+#REF!</f>
        <v>#REF!</v>
      </c>
      <c r="K198" s="427" t="s">
        <v>13</v>
      </c>
      <c r="L198" s="216" t="e">
        <f>+L188</f>
        <v>#REF!</v>
      </c>
      <c r="M198" s="209" t="e">
        <f t="shared" si="29"/>
        <v>#REF!</v>
      </c>
    </row>
    <row r="199" spans="1:13">
      <c r="A199" s="205"/>
      <c r="B199" s="201" t="s">
        <v>800</v>
      </c>
      <c r="C199" s="219" t="e">
        <f>SUM(C198:C198)*2</f>
        <v>#REF!</v>
      </c>
      <c r="D199" s="427" t="s">
        <v>15</v>
      </c>
      <c r="E199" s="208" t="e">
        <f>E209</f>
        <v>#REF!</v>
      </c>
      <c r="F199" s="209" t="e">
        <f t="shared" si="28"/>
        <v>#REF!</v>
      </c>
      <c r="H199" s="205"/>
      <c r="I199" s="201" t="s">
        <v>800</v>
      </c>
      <c r="J199" s="219" t="e">
        <f>SUM(J198:J198)*2</f>
        <v>#REF!</v>
      </c>
      <c r="K199" s="427" t="s">
        <v>15</v>
      </c>
      <c r="L199" s="208" t="e">
        <f>L179</f>
        <v>#REF!</v>
      </c>
      <c r="M199" s="209" t="e">
        <f t="shared" si="29"/>
        <v>#REF!</v>
      </c>
    </row>
    <row r="200" spans="1:13">
      <c r="A200" s="205"/>
      <c r="B200" s="201" t="s">
        <v>594</v>
      </c>
      <c r="C200" s="219" t="e">
        <f>SUM(C198:C198)</f>
        <v>#REF!</v>
      </c>
      <c r="D200" s="427" t="s">
        <v>13</v>
      </c>
      <c r="E200" s="208" t="e">
        <f>E210</f>
        <v>#REF!</v>
      </c>
      <c r="F200" s="209" t="e">
        <f t="shared" si="28"/>
        <v>#REF!</v>
      </c>
      <c r="H200" s="205"/>
      <c r="I200" s="201" t="s">
        <v>594</v>
      </c>
      <c r="J200" s="219" t="e">
        <f>SUM(J198:J198)</f>
        <v>#REF!</v>
      </c>
      <c r="K200" s="427" t="s">
        <v>13</v>
      </c>
      <c r="L200" s="208" t="e">
        <f>L180</f>
        <v>#REF!</v>
      </c>
      <c r="M200" s="209" t="e">
        <f t="shared" si="29"/>
        <v>#REF!</v>
      </c>
    </row>
    <row r="201" spans="1:13">
      <c r="A201" s="205"/>
      <c r="B201" s="165" t="s">
        <v>42</v>
      </c>
      <c r="C201" s="166">
        <v>1</v>
      </c>
      <c r="D201" s="167" t="s">
        <v>25</v>
      </c>
      <c r="E201" s="164" t="e">
        <f>L201</f>
        <v>#REF!</v>
      </c>
      <c r="F201" s="168" t="e">
        <f t="shared" ref="F201:F202" si="30">ROUND(C201*E201,2)</f>
        <v>#REF!</v>
      </c>
      <c r="H201" s="205"/>
      <c r="I201" s="165" t="s">
        <v>42</v>
      </c>
      <c r="J201" s="166">
        <v>1</v>
      </c>
      <c r="K201" s="167" t="s">
        <v>25</v>
      </c>
      <c r="L201" s="164" t="e">
        <f>L181</f>
        <v>#REF!</v>
      </c>
      <c r="M201" s="168" t="e">
        <f t="shared" ref="M201:M202" si="31">ROUND(J201*L201,2)</f>
        <v>#REF!</v>
      </c>
    </row>
    <row r="202" spans="1:13">
      <c r="A202" s="205"/>
      <c r="B202" s="165" t="s">
        <v>7</v>
      </c>
      <c r="C202" s="169" t="e">
        <f>SUM(F197:F199)</f>
        <v>#REF!</v>
      </c>
      <c r="D202" s="167" t="s">
        <v>8</v>
      </c>
      <c r="E202" s="164">
        <v>0.02</v>
      </c>
      <c r="F202" s="168" t="e">
        <f t="shared" si="30"/>
        <v>#REF!</v>
      </c>
      <c r="H202" s="205"/>
      <c r="I202" s="165" t="s">
        <v>7</v>
      </c>
      <c r="J202" s="169" t="e">
        <f>SUM(M197:M199)</f>
        <v>#REF!</v>
      </c>
      <c r="K202" s="167" t="s">
        <v>8</v>
      </c>
      <c r="L202" s="164">
        <v>0.02</v>
      </c>
      <c r="M202" s="168" t="e">
        <f t="shared" si="31"/>
        <v>#REF!</v>
      </c>
    </row>
    <row r="203" spans="1:13">
      <c r="A203" s="198"/>
      <c r="B203" s="198" t="s">
        <v>548</v>
      </c>
      <c r="C203" s="199"/>
      <c r="D203" s="426"/>
      <c r="E203" s="199"/>
      <c r="F203" s="197" t="e">
        <f>SUM(F197:F202)</f>
        <v>#REF!</v>
      </c>
      <c r="H203" s="198"/>
      <c r="I203" s="198" t="s">
        <v>548</v>
      </c>
      <c r="J203" s="199"/>
      <c r="K203" s="426"/>
      <c r="L203" s="199"/>
      <c r="M203" s="197" t="e">
        <f>SUM(M197:M202)</f>
        <v>#REF!</v>
      </c>
    </row>
    <row r="205" spans="1:13">
      <c r="A205" s="199"/>
      <c r="B205" s="364" t="s">
        <v>643</v>
      </c>
      <c r="C205" s="199"/>
      <c r="D205" s="426"/>
      <c r="E205" s="199"/>
      <c r="F205" s="199"/>
      <c r="H205" s="199"/>
      <c r="I205" s="364" t="s">
        <v>745</v>
      </c>
      <c r="J205" s="199"/>
      <c r="K205" s="426"/>
      <c r="L205" s="199"/>
      <c r="M205" s="199"/>
    </row>
    <row r="206" spans="1:13">
      <c r="A206" s="213"/>
      <c r="B206" s="214"/>
      <c r="C206" s="214"/>
      <c r="D206" s="429"/>
      <c r="E206" s="214"/>
      <c r="F206" s="215"/>
      <c r="H206" s="213"/>
      <c r="I206" s="214"/>
      <c r="J206" s="214"/>
      <c r="K206" s="429"/>
      <c r="L206" s="214"/>
      <c r="M206" s="215"/>
    </row>
    <row r="207" spans="1:13">
      <c r="A207" s="205"/>
      <c r="B207" s="219" t="s">
        <v>593</v>
      </c>
      <c r="C207" s="219">
        <v>1.05</v>
      </c>
      <c r="D207" s="427" t="s">
        <v>25</v>
      </c>
      <c r="E207" s="208" t="e">
        <f>L207</f>
        <v>#REF!</v>
      </c>
      <c r="F207" s="209" t="e">
        <f t="shared" ref="F207:F210" si="32">+C207*E207</f>
        <v>#REF!</v>
      </c>
      <c r="H207" s="205"/>
      <c r="I207" s="219" t="s">
        <v>593</v>
      </c>
      <c r="J207" s="219">
        <v>1.05</v>
      </c>
      <c r="K207" s="427" t="s">
        <v>25</v>
      </c>
      <c r="L207" s="208" t="e">
        <f>+L197</f>
        <v>#REF!</v>
      </c>
      <c r="M207" s="209" t="e">
        <f t="shared" ref="M207:M210" si="33">+J207*L207</f>
        <v>#REF!</v>
      </c>
    </row>
    <row r="208" spans="1:13">
      <c r="A208" s="205"/>
      <c r="B208" s="219" t="s">
        <v>43</v>
      </c>
      <c r="C208" s="219" t="e">
        <f>#REF!</f>
        <v>#REF!</v>
      </c>
      <c r="D208" s="427" t="s">
        <v>13</v>
      </c>
      <c r="E208" s="216" t="e">
        <f>L208</f>
        <v>#REF!</v>
      </c>
      <c r="F208" s="209" t="e">
        <f t="shared" si="32"/>
        <v>#REF!</v>
      </c>
      <c r="H208" s="205"/>
      <c r="I208" s="219" t="s">
        <v>43</v>
      </c>
      <c r="J208" s="219" t="e">
        <f>#REF!</f>
        <v>#REF!</v>
      </c>
      <c r="K208" s="427" t="s">
        <v>13</v>
      </c>
      <c r="L208" s="216" t="e">
        <f>+L198</f>
        <v>#REF!</v>
      </c>
      <c r="M208" s="209" t="e">
        <f t="shared" si="33"/>
        <v>#REF!</v>
      </c>
    </row>
    <row r="209" spans="1:13">
      <c r="A209" s="205"/>
      <c r="B209" s="201" t="s">
        <v>800</v>
      </c>
      <c r="C209" s="219" t="e">
        <f>SUM(C208:C208)*2</f>
        <v>#REF!</v>
      </c>
      <c r="D209" s="427" t="s">
        <v>15</v>
      </c>
      <c r="E209" s="208" t="e">
        <f>L199</f>
        <v>#REF!</v>
      </c>
      <c r="F209" s="209" t="e">
        <f t="shared" si="32"/>
        <v>#REF!</v>
      </c>
      <c r="H209" s="205"/>
      <c r="I209" s="201" t="s">
        <v>800</v>
      </c>
      <c r="J209" s="219" t="e">
        <f>SUM(J208:J208)*2</f>
        <v>#REF!</v>
      </c>
      <c r="K209" s="427" t="s">
        <v>15</v>
      </c>
      <c r="L209" s="208" t="e">
        <f>L199</f>
        <v>#REF!</v>
      </c>
      <c r="M209" s="209" t="e">
        <f t="shared" si="33"/>
        <v>#REF!</v>
      </c>
    </row>
    <row r="210" spans="1:13">
      <c r="A210" s="205"/>
      <c r="B210" s="201" t="s">
        <v>594</v>
      </c>
      <c r="C210" s="219" t="e">
        <f>SUM(C208:C208)</f>
        <v>#REF!</v>
      </c>
      <c r="D210" s="427" t="s">
        <v>13</v>
      </c>
      <c r="E210" s="208" t="e">
        <f>L210</f>
        <v>#REF!</v>
      </c>
      <c r="F210" s="209" t="e">
        <f t="shared" si="32"/>
        <v>#REF!</v>
      </c>
      <c r="H210" s="205"/>
      <c r="I210" s="201" t="s">
        <v>594</v>
      </c>
      <c r="J210" s="219" t="e">
        <f>SUM(J208:J208)</f>
        <v>#REF!</v>
      </c>
      <c r="K210" s="427" t="s">
        <v>13</v>
      </c>
      <c r="L210" s="208" t="e">
        <f>L200</f>
        <v>#REF!</v>
      </c>
      <c r="M210" s="209" t="e">
        <f t="shared" si="33"/>
        <v>#REF!</v>
      </c>
    </row>
    <row r="211" spans="1:13">
      <c r="A211" s="205"/>
      <c r="B211" s="165" t="s">
        <v>42</v>
      </c>
      <c r="C211" s="166">
        <v>1</v>
      </c>
      <c r="D211" s="167" t="s">
        <v>25</v>
      </c>
      <c r="E211" s="164" t="e">
        <f>L211</f>
        <v>#REF!</v>
      </c>
      <c r="F211" s="168" t="e">
        <f t="shared" ref="F211:F212" si="34">ROUND(C211*E211,2)</f>
        <v>#REF!</v>
      </c>
      <c r="H211" s="205"/>
      <c r="I211" s="165" t="s">
        <v>42</v>
      </c>
      <c r="J211" s="166">
        <v>1</v>
      </c>
      <c r="K211" s="167" t="s">
        <v>25</v>
      </c>
      <c r="L211" s="164" t="e">
        <f>L201</f>
        <v>#REF!</v>
      </c>
      <c r="M211" s="168" t="e">
        <f t="shared" ref="M211:M212" si="35">ROUND(J211*L211,2)</f>
        <v>#REF!</v>
      </c>
    </row>
    <row r="212" spans="1:13">
      <c r="A212" s="205"/>
      <c r="B212" s="165" t="s">
        <v>7</v>
      </c>
      <c r="C212" s="169" t="e">
        <f>SUM(F207:F209)</f>
        <v>#REF!</v>
      </c>
      <c r="D212" s="167" t="s">
        <v>8</v>
      </c>
      <c r="E212" s="164">
        <v>0.02</v>
      </c>
      <c r="F212" s="168" t="e">
        <f t="shared" si="34"/>
        <v>#REF!</v>
      </c>
      <c r="H212" s="205"/>
      <c r="I212" s="165" t="s">
        <v>7</v>
      </c>
      <c r="J212" s="169" t="e">
        <f>SUM(M207:M209)</f>
        <v>#REF!</v>
      </c>
      <c r="K212" s="167" t="s">
        <v>8</v>
      </c>
      <c r="L212" s="164">
        <v>0.02</v>
      </c>
      <c r="M212" s="168" t="e">
        <f t="shared" si="35"/>
        <v>#REF!</v>
      </c>
    </row>
    <row r="213" spans="1:13">
      <c r="A213" s="198"/>
      <c r="B213" s="198" t="s">
        <v>548</v>
      </c>
      <c r="C213" s="199"/>
      <c r="D213" s="426"/>
      <c r="E213" s="199"/>
      <c r="F213" s="197" t="e">
        <f>SUM(F207:F212)</f>
        <v>#REF!</v>
      </c>
      <c r="H213" s="198"/>
      <c r="I213" s="198" t="s">
        <v>548</v>
      </c>
      <c r="J213" s="199"/>
      <c r="K213" s="426"/>
      <c r="L213" s="199"/>
      <c r="M213" s="197" t="e">
        <f>SUM(M207:M212)</f>
        <v>#REF!</v>
      </c>
    </row>
    <row r="215" spans="1:13">
      <c r="A215" s="199"/>
      <c r="B215" s="364" t="s">
        <v>743</v>
      </c>
      <c r="C215" s="199"/>
      <c r="D215" s="426"/>
      <c r="E215" s="199"/>
      <c r="F215" s="199"/>
      <c r="H215" s="199"/>
      <c r="I215" s="364" t="s">
        <v>728</v>
      </c>
      <c r="J215" s="199"/>
      <c r="K215" s="426"/>
      <c r="L215" s="199"/>
      <c r="M215" s="199"/>
    </row>
    <row r="216" spans="1:13">
      <c r="A216" s="213"/>
      <c r="B216" s="214"/>
      <c r="C216" s="214"/>
      <c r="D216" s="429"/>
      <c r="E216" s="214"/>
      <c r="F216" s="215"/>
      <c r="H216" s="213"/>
      <c r="I216" s="214"/>
      <c r="J216" s="214"/>
      <c r="K216" s="429"/>
      <c r="L216" s="214"/>
      <c r="M216" s="215"/>
    </row>
    <row r="217" spans="1:13">
      <c r="A217" s="205"/>
      <c r="B217" s="219" t="s">
        <v>593</v>
      </c>
      <c r="C217" s="219">
        <v>1.05</v>
      </c>
      <c r="D217" s="427" t="s">
        <v>25</v>
      </c>
      <c r="E217" s="208" t="e">
        <f>E207</f>
        <v>#REF!</v>
      </c>
      <c r="F217" s="209" t="e">
        <f t="shared" ref="F217:F220" si="36">+C217*E217</f>
        <v>#REF!</v>
      </c>
      <c r="H217" s="205"/>
      <c r="I217" s="219" t="s">
        <v>593</v>
      </c>
      <c r="J217" s="219">
        <v>1.05</v>
      </c>
      <c r="K217" s="427" t="s">
        <v>25</v>
      </c>
      <c r="L217" s="208" t="e">
        <f>+E217</f>
        <v>#REF!</v>
      </c>
      <c r="M217" s="209" t="e">
        <f t="shared" ref="M217:M220" si="37">+J217*L217</f>
        <v>#REF!</v>
      </c>
    </row>
    <row r="218" spans="1:13">
      <c r="A218" s="205"/>
      <c r="B218" s="219" t="s">
        <v>43</v>
      </c>
      <c r="C218" s="219" t="e">
        <f>+#REF!</f>
        <v>#REF!</v>
      </c>
      <c r="D218" s="427" t="s">
        <v>13</v>
      </c>
      <c r="E218" s="216" t="e">
        <f>E208</f>
        <v>#REF!</v>
      </c>
      <c r="F218" s="209" t="e">
        <f t="shared" si="36"/>
        <v>#REF!</v>
      </c>
      <c r="H218" s="205"/>
      <c r="I218" s="219" t="s">
        <v>43</v>
      </c>
      <c r="J218" s="219" t="e">
        <f>+#REF!</f>
        <v>#REF!</v>
      </c>
      <c r="K218" s="427" t="s">
        <v>13</v>
      </c>
      <c r="L218" s="216" t="e">
        <f>+E218</f>
        <v>#REF!</v>
      </c>
      <c r="M218" s="209" t="e">
        <f t="shared" si="37"/>
        <v>#REF!</v>
      </c>
    </row>
    <row r="219" spans="1:13">
      <c r="A219" s="205"/>
      <c r="B219" s="201" t="s">
        <v>800</v>
      </c>
      <c r="C219" s="219" t="e">
        <f>SUM(C218:C218)*2</f>
        <v>#REF!</v>
      </c>
      <c r="D219" s="427" t="s">
        <v>15</v>
      </c>
      <c r="E219" s="208" t="e">
        <f>E209</f>
        <v>#REF!</v>
      </c>
      <c r="F219" s="209" t="e">
        <f t="shared" si="36"/>
        <v>#REF!</v>
      </c>
      <c r="H219" s="205"/>
      <c r="I219" s="201" t="s">
        <v>800</v>
      </c>
      <c r="J219" s="219" t="e">
        <f>SUM(J218:J218)*2</f>
        <v>#REF!</v>
      </c>
      <c r="K219" s="427" t="s">
        <v>15</v>
      </c>
      <c r="L219" s="208" t="e">
        <f>L209</f>
        <v>#REF!</v>
      </c>
      <c r="M219" s="209" t="e">
        <f t="shared" si="37"/>
        <v>#REF!</v>
      </c>
    </row>
    <row r="220" spans="1:13">
      <c r="A220" s="205"/>
      <c r="B220" s="201" t="s">
        <v>594</v>
      </c>
      <c r="C220" s="219" t="e">
        <f>SUM(C218:C218)</f>
        <v>#REF!</v>
      </c>
      <c r="D220" s="427" t="s">
        <v>13</v>
      </c>
      <c r="E220" s="208" t="e">
        <f>E210</f>
        <v>#REF!</v>
      </c>
      <c r="F220" s="209" t="e">
        <f t="shared" si="36"/>
        <v>#REF!</v>
      </c>
      <c r="H220" s="205"/>
      <c r="I220" s="201" t="s">
        <v>594</v>
      </c>
      <c r="J220" s="219" t="e">
        <f>SUM(J218:J218)</f>
        <v>#REF!</v>
      </c>
      <c r="K220" s="427" t="s">
        <v>13</v>
      </c>
      <c r="L220" s="208" t="e">
        <f>L210</f>
        <v>#REF!</v>
      </c>
      <c r="M220" s="209" t="e">
        <f t="shared" si="37"/>
        <v>#REF!</v>
      </c>
    </row>
    <row r="221" spans="1:13">
      <c r="A221" s="205"/>
      <c r="B221" s="165" t="s">
        <v>42</v>
      </c>
      <c r="C221" s="166">
        <v>1</v>
      </c>
      <c r="D221" s="167" t="s">
        <v>25</v>
      </c>
      <c r="E221" s="164" t="e">
        <f>E211</f>
        <v>#REF!</v>
      </c>
      <c r="F221" s="168" t="e">
        <f t="shared" ref="F221:F222" si="38">ROUND(C221*E221,2)</f>
        <v>#REF!</v>
      </c>
      <c r="H221" s="205"/>
      <c r="I221" s="165" t="s">
        <v>42</v>
      </c>
      <c r="J221" s="166">
        <v>1</v>
      </c>
      <c r="K221" s="167" t="s">
        <v>25</v>
      </c>
      <c r="L221" s="164" t="e">
        <f>L211</f>
        <v>#REF!</v>
      </c>
      <c r="M221" s="168" t="e">
        <f t="shared" ref="M221:M222" si="39">ROUND(J221*L221,2)</f>
        <v>#REF!</v>
      </c>
    </row>
    <row r="222" spans="1:13">
      <c r="A222" s="205"/>
      <c r="B222" s="165" t="s">
        <v>7</v>
      </c>
      <c r="C222" s="169" t="e">
        <f>SUM(F217:F219)</f>
        <v>#REF!</v>
      </c>
      <c r="D222" s="167" t="s">
        <v>8</v>
      </c>
      <c r="E222" s="164">
        <v>0.02</v>
      </c>
      <c r="F222" s="168" t="e">
        <f t="shared" si="38"/>
        <v>#REF!</v>
      </c>
      <c r="H222" s="205"/>
      <c r="I222" s="165" t="s">
        <v>7</v>
      </c>
      <c r="J222" s="169" t="e">
        <f>SUM(M217:M219)</f>
        <v>#REF!</v>
      </c>
      <c r="K222" s="167" t="s">
        <v>8</v>
      </c>
      <c r="L222" s="164">
        <v>0.02</v>
      </c>
      <c r="M222" s="168" t="e">
        <f t="shared" si="39"/>
        <v>#REF!</v>
      </c>
    </row>
    <row r="223" spans="1:13">
      <c r="A223" s="198"/>
      <c r="B223" s="198" t="s">
        <v>548</v>
      </c>
      <c r="C223" s="199"/>
      <c r="D223" s="426"/>
      <c r="E223" s="199"/>
      <c r="F223" s="197" t="e">
        <f>SUM(F217:F222)</f>
        <v>#REF!</v>
      </c>
      <c r="H223" s="198"/>
      <c r="I223" s="198" t="s">
        <v>548</v>
      </c>
      <c r="J223" s="199"/>
      <c r="K223" s="426"/>
      <c r="L223" s="199"/>
      <c r="M223" s="197" t="e">
        <f>SUM(M217:M222)</f>
        <v>#REF!</v>
      </c>
    </row>
    <row r="226" spans="1:20">
      <c r="A226" s="199"/>
      <c r="B226" s="364" t="s">
        <v>596</v>
      </c>
      <c r="C226" s="199"/>
      <c r="D226" s="426"/>
      <c r="E226" s="199"/>
      <c r="F226" s="199"/>
      <c r="H226" s="199"/>
      <c r="I226" s="228" t="s">
        <v>597</v>
      </c>
      <c r="J226" s="199"/>
      <c r="K226" s="426"/>
      <c r="L226" s="199" t="s">
        <v>592</v>
      </c>
      <c r="M226" s="199"/>
    </row>
    <row r="227" spans="1:20">
      <c r="A227" s="213"/>
      <c r="B227" s="214"/>
      <c r="C227" s="214"/>
      <c r="D227" s="429"/>
      <c r="E227" s="214"/>
      <c r="F227" s="215"/>
      <c r="H227" s="213"/>
      <c r="I227" s="214"/>
      <c r="J227" s="214"/>
      <c r="K227" s="429"/>
      <c r="L227" s="214"/>
      <c r="M227" s="215"/>
    </row>
    <row r="228" spans="1:20">
      <c r="A228" s="205"/>
      <c r="B228" s="219" t="s">
        <v>593</v>
      </c>
      <c r="C228" s="219">
        <v>1.05</v>
      </c>
      <c r="D228" s="427" t="s">
        <v>25</v>
      </c>
      <c r="E228" s="208" t="e">
        <f>E217</f>
        <v>#REF!</v>
      </c>
      <c r="F228" s="209" t="e">
        <f t="shared" ref="F228:F231" si="40">+C228*E228</f>
        <v>#REF!</v>
      </c>
      <c r="H228" s="205"/>
      <c r="I228" s="219" t="s">
        <v>593</v>
      </c>
      <c r="J228" s="219">
        <v>1.05</v>
      </c>
      <c r="K228" s="427" t="s">
        <v>25</v>
      </c>
      <c r="L228" s="208" t="e">
        <f>+E228</f>
        <v>#REF!</v>
      </c>
      <c r="M228" s="209" t="e">
        <f t="shared" ref="M228:M232" si="41">+J228*L228</f>
        <v>#REF!</v>
      </c>
    </row>
    <row r="229" spans="1:20">
      <c r="A229" s="205"/>
      <c r="B229" s="219" t="s">
        <v>43</v>
      </c>
      <c r="C229" s="365" t="e">
        <f>+#REF!</f>
        <v>#REF!</v>
      </c>
      <c r="D229" s="427" t="s">
        <v>13</v>
      </c>
      <c r="E229" s="216" t="e">
        <f>E218</f>
        <v>#REF!</v>
      </c>
      <c r="F229" s="209" t="e">
        <f t="shared" si="40"/>
        <v>#REF!</v>
      </c>
      <c r="H229" s="205"/>
      <c r="I229" s="219" t="s">
        <v>43</v>
      </c>
      <c r="J229" s="219">
        <v>0.4</v>
      </c>
      <c r="K229" s="427" t="s">
        <v>13</v>
      </c>
      <c r="L229" s="216" t="e">
        <f>+E229</f>
        <v>#REF!</v>
      </c>
      <c r="M229" s="209" t="e">
        <f t="shared" si="41"/>
        <v>#REF!</v>
      </c>
    </row>
    <row r="230" spans="1:20">
      <c r="A230" s="205"/>
      <c r="B230" s="201" t="s">
        <v>800</v>
      </c>
      <c r="C230" s="219" t="e">
        <f>SUM(C229:C229)*2</f>
        <v>#REF!</v>
      </c>
      <c r="D230" s="427" t="s">
        <v>15</v>
      </c>
      <c r="E230" s="208" t="e">
        <f>E219</f>
        <v>#REF!</v>
      </c>
      <c r="F230" s="209" t="e">
        <f t="shared" si="40"/>
        <v>#REF!</v>
      </c>
      <c r="H230" s="205"/>
      <c r="I230" s="201" t="s">
        <v>800</v>
      </c>
      <c r="J230" s="219">
        <f>SUM(J229:J229)*2</f>
        <v>0.8</v>
      </c>
      <c r="K230" s="427" t="s">
        <v>15</v>
      </c>
      <c r="L230" s="208">
        <v>52</v>
      </c>
      <c r="M230" s="209">
        <f t="shared" si="41"/>
        <v>41.6</v>
      </c>
    </row>
    <row r="231" spans="1:20">
      <c r="A231" s="205"/>
      <c r="B231" s="201" t="s">
        <v>594</v>
      </c>
      <c r="C231" s="219" t="e">
        <f>SUM(C229:C229)</f>
        <v>#REF!</v>
      </c>
      <c r="D231" s="427" t="s">
        <v>13</v>
      </c>
      <c r="E231" s="208" t="e">
        <f>E220</f>
        <v>#REF!</v>
      </c>
      <c r="F231" s="209" t="e">
        <f t="shared" si="40"/>
        <v>#REF!</v>
      </c>
      <c r="H231" s="205"/>
      <c r="I231" s="201" t="s">
        <v>594</v>
      </c>
      <c r="J231" s="219">
        <v>7.14</v>
      </c>
      <c r="K231" s="427" t="s">
        <v>36</v>
      </c>
      <c r="L231" s="208">
        <v>180</v>
      </c>
      <c r="M231" s="209">
        <f t="shared" si="41"/>
        <v>1285.2</v>
      </c>
    </row>
    <row r="232" spans="1:20">
      <c r="A232" s="205"/>
      <c r="B232" s="165" t="s">
        <v>42</v>
      </c>
      <c r="C232" s="166">
        <v>1</v>
      </c>
      <c r="D232" s="167" t="s">
        <v>25</v>
      </c>
      <c r="E232" s="164" t="e">
        <f>E221</f>
        <v>#REF!</v>
      </c>
      <c r="F232" s="168" t="e">
        <f t="shared" ref="F232:F233" si="42">ROUND(C232*E232,2)</f>
        <v>#REF!</v>
      </c>
      <c r="H232" s="205"/>
      <c r="I232" s="201" t="s">
        <v>28</v>
      </c>
      <c r="J232" s="219">
        <f>+J231</f>
        <v>7.14</v>
      </c>
      <c r="K232" s="427" t="s">
        <v>13</v>
      </c>
      <c r="L232" s="208">
        <v>10</v>
      </c>
      <c r="M232" s="209">
        <f t="shared" si="41"/>
        <v>71.399999999999991</v>
      </c>
    </row>
    <row r="233" spans="1:20">
      <c r="A233" s="205"/>
      <c r="B233" s="165" t="s">
        <v>7</v>
      </c>
      <c r="C233" s="169" t="e">
        <f>SUM(F228:F230)</f>
        <v>#REF!</v>
      </c>
      <c r="D233" s="167" t="s">
        <v>8</v>
      </c>
      <c r="E233" s="164">
        <v>0.02</v>
      </c>
      <c r="F233" s="168" t="e">
        <f t="shared" si="42"/>
        <v>#REF!</v>
      </c>
      <c r="H233" s="205"/>
      <c r="I233" s="210"/>
      <c r="J233" s="207"/>
      <c r="K233" s="428"/>
      <c r="L233" s="208"/>
      <c r="M233" s="209"/>
    </row>
    <row r="234" spans="1:20">
      <c r="A234" s="198"/>
      <c r="B234" s="198" t="s">
        <v>548</v>
      </c>
      <c r="C234" s="199"/>
      <c r="D234" s="426"/>
      <c r="E234" s="199"/>
      <c r="F234" s="197" t="e">
        <f>SUM(F228:F233)</f>
        <v>#REF!</v>
      </c>
      <c r="H234" s="198"/>
      <c r="I234" s="198" t="s">
        <v>548</v>
      </c>
      <c r="J234" s="199"/>
      <c r="K234" s="426"/>
      <c r="L234" s="199"/>
      <c r="M234" s="197" t="e">
        <f>SUM(M228:M233)</f>
        <v>#REF!</v>
      </c>
    </row>
    <row r="236" spans="1:20">
      <c r="A236" s="199"/>
      <c r="B236" s="364" t="s">
        <v>746</v>
      </c>
      <c r="C236" s="199"/>
      <c r="D236" s="426"/>
      <c r="E236" s="199"/>
      <c r="F236" s="199"/>
      <c r="H236" s="199"/>
      <c r="I236" s="364" t="s">
        <v>747</v>
      </c>
      <c r="J236" s="199"/>
      <c r="K236" s="426"/>
      <c r="L236" s="199"/>
      <c r="M236" s="199"/>
      <c r="O236" s="199"/>
      <c r="P236" s="364" t="s">
        <v>747</v>
      </c>
      <c r="Q236" s="199"/>
      <c r="R236" s="199"/>
      <c r="S236" s="199"/>
      <c r="T236" s="199"/>
    </row>
    <row r="237" spans="1:20">
      <c r="A237" s="213"/>
      <c r="B237" s="214"/>
      <c r="C237" s="214"/>
      <c r="D237" s="429"/>
      <c r="E237" s="214"/>
      <c r="F237" s="215"/>
      <c r="H237" s="213"/>
      <c r="I237" s="214"/>
      <c r="J237" s="214"/>
      <c r="K237" s="429"/>
      <c r="L237" s="214"/>
      <c r="M237" s="215"/>
      <c r="O237" s="213"/>
      <c r="P237" s="214"/>
      <c r="Q237" s="214"/>
      <c r="R237" s="214"/>
      <c r="S237" s="214"/>
      <c r="T237" s="215"/>
    </row>
    <row r="238" spans="1:20">
      <c r="A238" s="205"/>
      <c r="B238" s="219" t="s">
        <v>593</v>
      </c>
      <c r="C238" s="219">
        <v>1.05</v>
      </c>
      <c r="D238" s="427" t="s">
        <v>25</v>
      </c>
      <c r="E238" s="208" t="e">
        <f>#REF!</f>
        <v>#REF!</v>
      </c>
      <c r="F238" s="209" t="e">
        <f t="shared" ref="F238:F240" si="43">+C238*E238</f>
        <v>#REF!</v>
      </c>
      <c r="H238" s="205"/>
      <c r="I238" s="219" t="s">
        <v>593</v>
      </c>
      <c r="J238" s="219">
        <v>1.05</v>
      </c>
      <c r="K238" s="427" t="s">
        <v>25</v>
      </c>
      <c r="L238" s="208" t="e">
        <f>E238</f>
        <v>#REF!</v>
      </c>
      <c r="M238" s="209" t="e">
        <f t="shared" ref="M238:M240" si="44">+J238*L238</f>
        <v>#REF!</v>
      </c>
      <c r="O238" s="205"/>
      <c r="P238" s="219" t="s">
        <v>593</v>
      </c>
      <c r="Q238" s="219">
        <v>1.05</v>
      </c>
      <c r="R238" s="201" t="s">
        <v>25</v>
      </c>
      <c r="S238" s="208" t="e">
        <f>L238</f>
        <v>#REF!</v>
      </c>
      <c r="T238" s="209" t="e">
        <f t="shared" ref="T238:T240" si="45">+Q238*S238</f>
        <v>#REF!</v>
      </c>
    </row>
    <row r="239" spans="1:20">
      <c r="A239" s="205"/>
      <c r="B239" s="219" t="s">
        <v>43</v>
      </c>
      <c r="C239" s="219" t="e">
        <f>+#REF!</f>
        <v>#REF!</v>
      </c>
      <c r="D239" s="427" t="s">
        <v>13</v>
      </c>
      <c r="E239" s="216" t="e">
        <f>#REF!</f>
        <v>#REF!</v>
      </c>
      <c r="F239" s="209" t="e">
        <f t="shared" si="43"/>
        <v>#REF!</v>
      </c>
      <c r="H239" s="205"/>
      <c r="I239" s="219" t="s">
        <v>43</v>
      </c>
      <c r="J239" s="219" t="e">
        <f>+#REF!</f>
        <v>#REF!</v>
      </c>
      <c r="K239" s="427" t="s">
        <v>13</v>
      </c>
      <c r="L239" s="216" t="e">
        <f>E239</f>
        <v>#REF!</v>
      </c>
      <c r="M239" s="209" t="e">
        <f t="shared" si="44"/>
        <v>#REF!</v>
      </c>
      <c r="O239" s="205"/>
      <c r="P239" s="219" t="s">
        <v>43</v>
      </c>
      <c r="Q239" s="219" t="e">
        <f>#REF!</f>
        <v>#REF!</v>
      </c>
      <c r="R239" s="201" t="s">
        <v>13</v>
      </c>
      <c r="S239" s="208" t="e">
        <f t="shared" ref="S239:S240" si="46">L239</f>
        <v>#REF!</v>
      </c>
      <c r="T239" s="209" t="e">
        <f t="shared" si="45"/>
        <v>#REF!</v>
      </c>
    </row>
    <row r="240" spans="1:20">
      <c r="A240" s="205"/>
      <c r="B240" s="201" t="s">
        <v>800</v>
      </c>
      <c r="C240" s="219" t="e">
        <f>SUM(C239)*2</f>
        <v>#REF!</v>
      </c>
      <c r="D240" s="427" t="s">
        <v>15</v>
      </c>
      <c r="E240" s="208" t="e">
        <f>#REF!</f>
        <v>#REF!</v>
      </c>
      <c r="F240" s="209" t="e">
        <f t="shared" si="43"/>
        <v>#REF!</v>
      </c>
      <c r="H240" s="205"/>
      <c r="I240" s="201" t="s">
        <v>14</v>
      </c>
      <c r="J240" s="219" t="e">
        <f>SUM(J239)*2</f>
        <v>#REF!</v>
      </c>
      <c r="K240" s="427" t="s">
        <v>15</v>
      </c>
      <c r="L240" s="208" t="e">
        <f>E240</f>
        <v>#REF!</v>
      </c>
      <c r="M240" s="209" t="e">
        <f t="shared" si="44"/>
        <v>#REF!</v>
      </c>
      <c r="O240" s="205"/>
      <c r="P240" s="201" t="s">
        <v>14</v>
      </c>
      <c r="Q240" s="219" t="e">
        <f>SUM(Q239)*2</f>
        <v>#REF!</v>
      </c>
      <c r="R240" s="201" t="s">
        <v>15</v>
      </c>
      <c r="S240" s="208" t="e">
        <f t="shared" si="46"/>
        <v>#REF!</v>
      </c>
      <c r="T240" s="209" t="e">
        <f t="shared" si="45"/>
        <v>#REF!</v>
      </c>
    </row>
    <row r="241" spans="1:20">
      <c r="A241" s="205"/>
      <c r="B241" s="330" t="s">
        <v>49</v>
      </c>
      <c r="C241" s="325">
        <f>1/(0.2*0.3)</f>
        <v>16.666666666666668</v>
      </c>
      <c r="D241" s="326" t="s">
        <v>36</v>
      </c>
      <c r="E241" s="327">
        <v>165.66</v>
      </c>
      <c r="F241" s="328">
        <f t="shared" ref="F241:F245" si="47">C241*E241</f>
        <v>2761</v>
      </c>
      <c r="H241" s="205"/>
      <c r="I241" s="330" t="s">
        <v>802</v>
      </c>
      <c r="J241" s="325">
        <f>1/(0.2*0.2)</f>
        <v>24.999999999999996</v>
      </c>
      <c r="K241" s="326" t="s">
        <v>36</v>
      </c>
      <c r="L241" s="327">
        <v>165.66</v>
      </c>
      <c r="M241" s="328">
        <f t="shared" ref="M241:M243" si="48">J241*L241</f>
        <v>4141.4999999999991</v>
      </c>
      <c r="O241" s="205"/>
      <c r="P241" s="330" t="s">
        <v>802</v>
      </c>
      <c r="Q241" s="325">
        <f>1/(0.2*0.2)</f>
        <v>24.999999999999996</v>
      </c>
      <c r="R241" s="326" t="s">
        <v>36</v>
      </c>
      <c r="S241" s="327">
        <v>165.66</v>
      </c>
      <c r="T241" s="328">
        <f t="shared" ref="T241:T243" si="49">Q241*S241</f>
        <v>4141.4999999999991</v>
      </c>
    </row>
    <row r="242" spans="1:20">
      <c r="A242" s="205"/>
      <c r="B242" s="330" t="s">
        <v>670</v>
      </c>
      <c r="C242" s="325">
        <f>(0.2+0.3)*2*C241</f>
        <v>16.666666666666668</v>
      </c>
      <c r="D242" s="326" t="s">
        <v>39</v>
      </c>
      <c r="E242" s="327">
        <v>28.72</v>
      </c>
      <c r="F242" s="328">
        <f t="shared" si="47"/>
        <v>478.66666666666669</v>
      </c>
      <c r="H242" s="205"/>
      <c r="I242" s="330" t="s">
        <v>670</v>
      </c>
      <c r="J242" s="325">
        <f>(0.2+0.2)*2*J241</f>
        <v>20</v>
      </c>
      <c r="K242" s="326" t="s">
        <v>39</v>
      </c>
      <c r="L242" s="327">
        <v>28.72</v>
      </c>
      <c r="M242" s="328">
        <f t="shared" si="48"/>
        <v>574.4</v>
      </c>
      <c r="O242" s="205"/>
      <c r="P242" s="330" t="s">
        <v>670</v>
      </c>
      <c r="Q242" s="325">
        <f>(0.2+0.2)*2*Q241</f>
        <v>20</v>
      </c>
      <c r="R242" s="326" t="s">
        <v>39</v>
      </c>
      <c r="S242" s="327">
        <v>28.72</v>
      </c>
      <c r="T242" s="328">
        <f t="shared" si="49"/>
        <v>574.4</v>
      </c>
    </row>
    <row r="243" spans="1:20">
      <c r="A243" s="205"/>
      <c r="B243" s="330" t="s">
        <v>31</v>
      </c>
      <c r="C243" s="325" t="e">
        <f>SUM(C239:C239)</f>
        <v>#REF!</v>
      </c>
      <c r="D243" s="326" t="s">
        <v>0</v>
      </c>
      <c r="E243" s="327" t="e">
        <f>#REF!</f>
        <v>#REF!</v>
      </c>
      <c r="F243" s="328" t="e">
        <f t="shared" si="47"/>
        <v>#REF!</v>
      </c>
      <c r="H243" s="205"/>
      <c r="I243" s="330" t="s">
        <v>31</v>
      </c>
      <c r="J243" s="325" t="e">
        <f>SUM(J239:J239)</f>
        <v>#REF!</v>
      </c>
      <c r="K243" s="326" t="s">
        <v>0</v>
      </c>
      <c r="L243" s="327" t="e">
        <f>E243</f>
        <v>#REF!</v>
      </c>
      <c r="M243" s="328" t="e">
        <f t="shared" si="48"/>
        <v>#REF!</v>
      </c>
      <c r="O243" s="205"/>
      <c r="P243" s="330" t="s">
        <v>31</v>
      </c>
      <c r="Q243" s="325" t="e">
        <f>SUM(Q239:Q239)</f>
        <v>#REF!</v>
      </c>
      <c r="R243" s="326" t="s">
        <v>0</v>
      </c>
      <c r="S243" s="327" t="e">
        <f>L243</f>
        <v>#REF!</v>
      </c>
      <c r="T243" s="328" t="e">
        <f t="shared" si="49"/>
        <v>#REF!</v>
      </c>
    </row>
    <row r="244" spans="1:20">
      <c r="A244" s="205"/>
      <c r="B244" s="330" t="s">
        <v>123</v>
      </c>
      <c r="C244" s="325">
        <v>1</v>
      </c>
      <c r="D244" s="326" t="s">
        <v>25</v>
      </c>
      <c r="E244" s="327" t="e">
        <f>#REF!</f>
        <v>#REF!</v>
      </c>
      <c r="F244" s="328"/>
      <c r="H244" s="205"/>
      <c r="I244" s="330" t="s">
        <v>123</v>
      </c>
      <c r="J244" s="325">
        <v>1</v>
      </c>
      <c r="K244" s="326" t="s">
        <v>25</v>
      </c>
      <c r="L244" s="327" t="e">
        <f t="shared" ref="L244:L245" si="50">E244</f>
        <v>#REF!</v>
      </c>
      <c r="M244" s="328"/>
      <c r="O244" s="205"/>
      <c r="P244" s="330" t="s">
        <v>123</v>
      </c>
      <c r="Q244" s="325">
        <v>1</v>
      </c>
      <c r="R244" s="326" t="s">
        <v>25</v>
      </c>
      <c r="S244" s="327" t="e">
        <f t="shared" ref="S244:S245" si="51">L244</f>
        <v>#REF!</v>
      </c>
      <c r="T244" s="328"/>
    </row>
    <row r="245" spans="1:20">
      <c r="A245" s="205"/>
      <c r="B245" s="330" t="s">
        <v>7</v>
      </c>
      <c r="C245" s="325" t="e">
        <f>SUM(F238:F241)</f>
        <v>#REF!</v>
      </c>
      <c r="D245" s="326" t="s">
        <v>8</v>
      </c>
      <c r="E245" s="327" t="e">
        <f>#REF!</f>
        <v>#REF!</v>
      </c>
      <c r="F245" s="328" t="e">
        <f t="shared" si="47"/>
        <v>#REF!</v>
      </c>
      <c r="H245" s="205"/>
      <c r="I245" s="330" t="s">
        <v>7</v>
      </c>
      <c r="J245" s="325" t="e">
        <f>SUM(M238:M241)</f>
        <v>#REF!</v>
      </c>
      <c r="K245" s="326" t="s">
        <v>8</v>
      </c>
      <c r="L245" s="327" t="e">
        <f t="shared" si="50"/>
        <v>#REF!</v>
      </c>
      <c r="M245" s="328" t="e">
        <f t="shared" ref="M245" si="52">J245*L245</f>
        <v>#REF!</v>
      </c>
      <c r="O245" s="205"/>
      <c r="P245" s="330" t="s">
        <v>7</v>
      </c>
      <c r="Q245" s="325" t="e">
        <f>SUM(T238:T241)</f>
        <v>#REF!</v>
      </c>
      <c r="R245" s="326" t="s">
        <v>8</v>
      </c>
      <c r="S245" s="327" t="e">
        <f t="shared" si="51"/>
        <v>#REF!</v>
      </c>
      <c r="T245" s="328" t="e">
        <f t="shared" ref="T245" si="53">Q245*S245</f>
        <v>#REF!</v>
      </c>
    </row>
    <row r="246" spans="1:20">
      <c r="A246" s="205"/>
      <c r="B246" s="210"/>
      <c r="C246" s="207"/>
      <c r="D246" s="428"/>
      <c r="E246" s="208"/>
      <c r="F246" s="209"/>
      <c r="H246" s="205"/>
      <c r="I246" s="210"/>
      <c r="J246" s="207"/>
      <c r="K246" s="428"/>
      <c r="L246" s="208"/>
      <c r="M246" s="209"/>
      <c r="O246" s="205"/>
      <c r="P246" s="210"/>
      <c r="Q246" s="207"/>
      <c r="R246" s="206"/>
      <c r="S246" s="208"/>
      <c r="T246" s="209"/>
    </row>
    <row r="247" spans="1:20">
      <c r="A247" s="198"/>
      <c r="B247" s="198" t="s">
        <v>548</v>
      </c>
      <c r="C247" s="199"/>
      <c r="D247" s="426"/>
      <c r="E247" s="199"/>
      <c r="F247" s="197" t="e">
        <f>SUM(F238:F246)</f>
        <v>#REF!</v>
      </c>
      <c r="H247" s="198"/>
      <c r="I247" s="198" t="s">
        <v>548</v>
      </c>
      <c r="J247" s="199"/>
      <c r="K247" s="426"/>
      <c r="L247" s="199"/>
      <c r="M247" s="197" t="e">
        <f>SUM(M238:M246)</f>
        <v>#REF!</v>
      </c>
      <c r="O247" s="198"/>
      <c r="P247" s="198" t="s">
        <v>548</v>
      </c>
      <c r="Q247" s="199"/>
      <c r="R247" s="199"/>
      <c r="S247" s="199"/>
      <c r="T247" s="197" t="e">
        <f>SUM(T238:T246)</f>
        <v>#REF!</v>
      </c>
    </row>
    <row r="248" spans="1:20">
      <c r="A248" s="367"/>
      <c r="B248" s="367"/>
      <c r="C248" s="368"/>
      <c r="D248" s="431"/>
      <c r="E248" s="368"/>
      <c r="F248" s="369"/>
      <c r="H248" s="367"/>
      <c r="I248" s="367"/>
      <c r="J248" s="368"/>
      <c r="K248" s="431"/>
      <c r="L248" s="368"/>
      <c r="M248" s="369"/>
      <c r="O248" s="367"/>
      <c r="P248" s="367"/>
      <c r="Q248" s="368"/>
      <c r="R248" s="368"/>
      <c r="S248" s="368"/>
      <c r="T248" s="369"/>
    </row>
    <row r="249" spans="1:20">
      <c r="A249" s="367"/>
      <c r="B249" s="367"/>
      <c r="C249" s="368"/>
      <c r="D249" s="431"/>
      <c r="E249" s="368"/>
      <c r="F249" s="369"/>
      <c r="H249" s="199"/>
      <c r="I249" s="364" t="s">
        <v>803</v>
      </c>
      <c r="J249" s="199"/>
      <c r="K249" s="426"/>
      <c r="L249" s="199"/>
      <c r="M249" s="199"/>
      <c r="O249" s="199"/>
      <c r="P249" s="364" t="s">
        <v>803</v>
      </c>
      <c r="Q249" s="199"/>
      <c r="R249" s="199"/>
      <c r="S249" s="199"/>
      <c r="T249" s="199"/>
    </row>
    <row r="250" spans="1:20">
      <c r="A250" s="199"/>
      <c r="B250" s="364" t="s">
        <v>806</v>
      </c>
      <c r="C250" s="199"/>
      <c r="D250" s="426"/>
      <c r="E250" s="199"/>
      <c r="F250" s="199"/>
      <c r="H250" s="213"/>
      <c r="I250" s="214"/>
      <c r="J250" s="214"/>
      <c r="K250" s="429"/>
      <c r="L250" s="214"/>
      <c r="M250" s="215"/>
      <c r="O250" s="213"/>
      <c r="P250" s="214"/>
      <c r="Q250" s="214"/>
      <c r="R250" s="214"/>
      <c r="S250" s="214"/>
      <c r="T250" s="215"/>
    </row>
    <row r="251" spans="1:20">
      <c r="A251" s="213"/>
      <c r="B251" s="214"/>
      <c r="C251" s="214"/>
      <c r="D251" s="429"/>
      <c r="E251" s="214"/>
      <c r="F251" s="215"/>
      <c r="H251" s="205"/>
      <c r="I251" s="219" t="s">
        <v>593</v>
      </c>
      <c r="J251" s="219">
        <v>1.05</v>
      </c>
      <c r="K251" s="427" t="s">
        <v>25</v>
      </c>
      <c r="L251" s="208" t="e">
        <f>L238</f>
        <v>#REF!</v>
      </c>
      <c r="M251" s="209" t="e">
        <f t="shared" ref="M251:M253" si="54">+J251*L251</f>
        <v>#REF!</v>
      </c>
      <c r="O251" s="205"/>
      <c r="P251" s="219" t="s">
        <v>593</v>
      </c>
      <c r="Q251" s="219">
        <v>1.05</v>
      </c>
      <c r="R251" s="201" t="s">
        <v>25</v>
      </c>
      <c r="S251" s="208" t="e">
        <f>S238</f>
        <v>#REF!</v>
      </c>
      <c r="T251" s="209" t="e">
        <f t="shared" ref="T251:T253" si="55">+Q251*S251</f>
        <v>#REF!</v>
      </c>
    </row>
    <row r="252" spans="1:20">
      <c r="A252" s="205"/>
      <c r="B252" s="219" t="s">
        <v>593</v>
      </c>
      <c r="C252" s="219">
        <v>1.05</v>
      </c>
      <c r="D252" s="427" t="s">
        <v>25</v>
      </c>
      <c r="E252" s="208" t="e">
        <f>+E295</f>
        <v>#REF!</v>
      </c>
      <c r="F252" s="209" t="e">
        <f t="shared" ref="F252:F254" si="56">+C252*E252</f>
        <v>#REF!</v>
      </c>
      <c r="H252" s="205"/>
      <c r="I252" s="219" t="s">
        <v>43</v>
      </c>
      <c r="J252" s="219" t="e">
        <f>#REF!</f>
        <v>#REF!</v>
      </c>
      <c r="K252" s="427" t="s">
        <v>13</v>
      </c>
      <c r="L252" s="208" t="e">
        <f t="shared" ref="L252:L253" si="57">L239</f>
        <v>#REF!</v>
      </c>
      <c r="M252" s="209" t="e">
        <f t="shared" si="54"/>
        <v>#REF!</v>
      </c>
      <c r="O252" s="205"/>
      <c r="P252" s="219" t="s">
        <v>43</v>
      </c>
      <c r="Q252" s="219" t="e">
        <f>#REF!</f>
        <v>#REF!</v>
      </c>
      <c r="R252" s="201" t="s">
        <v>13</v>
      </c>
      <c r="S252" s="208" t="e">
        <f t="shared" ref="S252:S253" si="58">S239</f>
        <v>#REF!</v>
      </c>
      <c r="T252" s="209" t="e">
        <f t="shared" si="55"/>
        <v>#REF!</v>
      </c>
    </row>
    <row r="253" spans="1:20">
      <c r="A253" s="205"/>
      <c r="B253" s="219" t="s">
        <v>43</v>
      </c>
      <c r="C253" s="219" t="e">
        <f>#REF!</f>
        <v>#REF!</v>
      </c>
      <c r="D253" s="427" t="s">
        <v>13</v>
      </c>
      <c r="E253" s="216" t="e">
        <f>+E296</f>
        <v>#REF!</v>
      </c>
      <c r="F253" s="209" t="e">
        <f t="shared" si="56"/>
        <v>#REF!</v>
      </c>
      <c r="H253" s="205"/>
      <c r="I253" s="201" t="s">
        <v>800</v>
      </c>
      <c r="J253" s="219" t="e">
        <f>SUM(J252)*2</f>
        <v>#REF!</v>
      </c>
      <c r="K253" s="427" t="s">
        <v>15</v>
      </c>
      <c r="L253" s="208" t="e">
        <f t="shared" si="57"/>
        <v>#REF!</v>
      </c>
      <c r="M253" s="209" t="e">
        <f t="shared" si="54"/>
        <v>#REF!</v>
      </c>
      <c r="O253" s="205"/>
      <c r="P253" s="201" t="s">
        <v>800</v>
      </c>
      <c r="Q253" s="219" t="e">
        <f>SUM(Q252)*2</f>
        <v>#REF!</v>
      </c>
      <c r="R253" s="201" t="s">
        <v>15</v>
      </c>
      <c r="S253" s="208" t="e">
        <f t="shared" si="58"/>
        <v>#REF!</v>
      </c>
      <c r="T253" s="209" t="e">
        <f t="shared" si="55"/>
        <v>#REF!</v>
      </c>
    </row>
    <row r="254" spans="1:20">
      <c r="A254" s="205"/>
      <c r="B254" s="201" t="s">
        <v>14</v>
      </c>
      <c r="C254" s="219" t="e">
        <f>SUM(C253)*2</f>
        <v>#REF!</v>
      </c>
      <c r="D254" s="427" t="s">
        <v>15</v>
      </c>
      <c r="E254" s="208" t="e">
        <f>E297</f>
        <v>#REF!</v>
      </c>
      <c r="F254" s="209" t="e">
        <f t="shared" si="56"/>
        <v>#REF!</v>
      </c>
      <c r="H254" s="205"/>
      <c r="I254" s="330" t="s">
        <v>802</v>
      </c>
      <c r="J254" s="325">
        <f>1/(0.2*0.2)</f>
        <v>24.999999999999996</v>
      </c>
      <c r="K254" s="326" t="s">
        <v>36</v>
      </c>
      <c r="L254" s="327">
        <v>165.66</v>
      </c>
      <c r="M254" s="328">
        <f t="shared" ref="M254:M256" si="59">J254*L254</f>
        <v>4141.4999999999991</v>
      </c>
      <c r="O254" s="205"/>
      <c r="P254" s="330" t="s">
        <v>802</v>
      </c>
      <c r="Q254" s="325">
        <f>1/(0.2*0.2)</f>
        <v>24.999999999999996</v>
      </c>
      <c r="R254" s="326" t="s">
        <v>36</v>
      </c>
      <c r="S254" s="327">
        <v>165.66</v>
      </c>
      <c r="T254" s="328">
        <f t="shared" ref="T254:T256" si="60">Q254*S254</f>
        <v>4141.4999999999991</v>
      </c>
    </row>
    <row r="255" spans="1:20">
      <c r="A255" s="205"/>
      <c r="B255" s="330" t="s">
        <v>49</v>
      </c>
      <c r="C255" s="325">
        <f>1/(0.2*0.3)</f>
        <v>16.666666666666668</v>
      </c>
      <c r="D255" s="326" t="s">
        <v>36</v>
      </c>
      <c r="E255" s="327">
        <v>165.66</v>
      </c>
      <c r="F255" s="328">
        <f t="shared" ref="F255:F257" si="61">C255*E255</f>
        <v>2761</v>
      </c>
      <c r="H255" s="205"/>
      <c r="I255" s="330" t="s">
        <v>670</v>
      </c>
      <c r="J255" s="325">
        <f>(0.2+0.2)*2*J254</f>
        <v>20</v>
      </c>
      <c r="K255" s="326" t="s">
        <v>39</v>
      </c>
      <c r="L255" s="327">
        <v>28.72</v>
      </c>
      <c r="M255" s="328">
        <f t="shared" si="59"/>
        <v>574.4</v>
      </c>
      <c r="O255" s="205"/>
      <c r="P255" s="330" t="s">
        <v>670</v>
      </c>
      <c r="Q255" s="325">
        <f>(0.2+0.2)*2*Q254</f>
        <v>20</v>
      </c>
      <c r="R255" s="326" t="s">
        <v>39</v>
      </c>
      <c r="S255" s="327">
        <v>28.72</v>
      </c>
      <c r="T255" s="328">
        <f t="shared" si="60"/>
        <v>574.4</v>
      </c>
    </row>
    <row r="256" spans="1:20">
      <c r="A256" s="205"/>
      <c r="B256" s="330" t="s">
        <v>670</v>
      </c>
      <c r="C256" s="325">
        <f>(0.2+0.3)*2*C255</f>
        <v>16.666666666666668</v>
      </c>
      <c r="D256" s="326" t="s">
        <v>39</v>
      </c>
      <c r="E256" s="327">
        <v>28.72</v>
      </c>
      <c r="F256" s="328">
        <f t="shared" si="61"/>
        <v>478.66666666666669</v>
      </c>
      <c r="H256" s="205"/>
      <c r="I256" s="330" t="s">
        <v>31</v>
      </c>
      <c r="J256" s="325" t="e">
        <f>SUM(J252:J252)</f>
        <v>#REF!</v>
      </c>
      <c r="K256" s="326" t="s">
        <v>0</v>
      </c>
      <c r="L256" s="327" t="e">
        <f>#REF!</f>
        <v>#REF!</v>
      </c>
      <c r="M256" s="328" t="e">
        <f t="shared" si="59"/>
        <v>#REF!</v>
      </c>
      <c r="O256" s="205"/>
      <c r="P256" s="330" t="s">
        <v>31</v>
      </c>
      <c r="Q256" s="325" t="e">
        <f>SUM(Q252:Q252)</f>
        <v>#REF!</v>
      </c>
      <c r="R256" s="326" t="s">
        <v>0</v>
      </c>
      <c r="S256" s="327" t="e">
        <f>L256</f>
        <v>#REF!</v>
      </c>
      <c r="T256" s="328" t="e">
        <f t="shared" si="60"/>
        <v>#REF!</v>
      </c>
    </row>
    <row r="257" spans="1:20">
      <c r="A257" s="205"/>
      <c r="B257" s="330" t="s">
        <v>31</v>
      </c>
      <c r="C257" s="325" t="e">
        <f>SUM(C253:C253)</f>
        <v>#REF!</v>
      </c>
      <c r="D257" s="326" t="s">
        <v>0</v>
      </c>
      <c r="E257" s="327" t="e">
        <f>#REF!</f>
        <v>#REF!</v>
      </c>
      <c r="F257" s="328" t="e">
        <f t="shared" si="61"/>
        <v>#REF!</v>
      </c>
      <c r="H257" s="205"/>
      <c r="I257" s="330" t="s">
        <v>123</v>
      </c>
      <c r="J257" s="325">
        <v>1</v>
      </c>
      <c r="K257" s="326" t="s">
        <v>25</v>
      </c>
      <c r="L257" s="327" t="e">
        <f t="shared" ref="L257:L258" si="62">L244</f>
        <v>#REF!</v>
      </c>
      <c r="M257" s="328"/>
      <c r="O257" s="205"/>
      <c r="P257" s="330" t="s">
        <v>123</v>
      </c>
      <c r="Q257" s="325">
        <v>1</v>
      </c>
      <c r="R257" s="326" t="s">
        <v>25</v>
      </c>
      <c r="S257" s="327" t="e">
        <f t="shared" ref="S257:S258" si="63">S244</f>
        <v>#REF!</v>
      </c>
      <c r="T257" s="328"/>
    </row>
    <row r="258" spans="1:20">
      <c r="A258" s="205"/>
      <c r="B258" s="330" t="s">
        <v>123</v>
      </c>
      <c r="C258" s="325">
        <v>1</v>
      </c>
      <c r="D258" s="326" t="s">
        <v>25</v>
      </c>
      <c r="E258" s="327" t="e">
        <f>E301</f>
        <v>#REF!</v>
      </c>
      <c r="F258" s="328"/>
      <c r="H258" s="205"/>
      <c r="I258" s="330" t="s">
        <v>7</v>
      </c>
      <c r="J258" s="325" t="e">
        <f>SUM(M251:M254)</f>
        <v>#REF!</v>
      </c>
      <c r="K258" s="326" t="s">
        <v>8</v>
      </c>
      <c r="L258" s="327" t="e">
        <f t="shared" si="62"/>
        <v>#REF!</v>
      </c>
      <c r="M258" s="328" t="e">
        <f t="shared" ref="M258" si="64">J258*L258</f>
        <v>#REF!</v>
      </c>
      <c r="O258" s="205"/>
      <c r="P258" s="330" t="s">
        <v>7</v>
      </c>
      <c r="Q258" s="325" t="e">
        <f>SUM(T251:T254)</f>
        <v>#REF!</v>
      </c>
      <c r="R258" s="326" t="s">
        <v>8</v>
      </c>
      <c r="S258" s="327" t="e">
        <f t="shared" si="63"/>
        <v>#REF!</v>
      </c>
      <c r="T258" s="328" t="e">
        <f t="shared" ref="T258" si="65">Q258*S258</f>
        <v>#REF!</v>
      </c>
    </row>
    <row r="259" spans="1:20">
      <c r="A259" s="205"/>
      <c r="B259" s="330" t="s">
        <v>7</v>
      </c>
      <c r="C259" s="325" t="e">
        <f>SUM(F252:F255)</f>
        <v>#REF!</v>
      </c>
      <c r="D259" s="326" t="s">
        <v>8</v>
      </c>
      <c r="E259" s="327" t="e">
        <f>E302</f>
        <v>#REF!</v>
      </c>
      <c r="F259" s="328" t="e">
        <f t="shared" ref="F259" si="66">C259*E259</f>
        <v>#REF!</v>
      </c>
      <c r="H259" s="205"/>
      <c r="I259" s="210"/>
      <c r="J259" s="207"/>
      <c r="K259" s="428"/>
      <c r="L259" s="208"/>
      <c r="M259" s="209"/>
      <c r="O259" s="205"/>
      <c r="P259" s="210"/>
      <c r="Q259" s="207"/>
      <c r="R259" s="206"/>
      <c r="S259" s="208"/>
      <c r="T259" s="209"/>
    </row>
    <row r="260" spans="1:20">
      <c r="A260" s="205"/>
      <c r="B260" s="210"/>
      <c r="C260" s="207"/>
      <c r="D260" s="428"/>
      <c r="E260" s="208"/>
      <c r="F260" s="209"/>
      <c r="H260" s="198"/>
      <c r="I260" s="198" t="s">
        <v>548</v>
      </c>
      <c r="J260" s="199"/>
      <c r="K260" s="426"/>
      <c r="L260" s="199"/>
      <c r="M260" s="197" t="e">
        <f>SUM(M251:M259)</f>
        <v>#REF!</v>
      </c>
      <c r="O260" s="198"/>
      <c r="P260" s="198" t="s">
        <v>548</v>
      </c>
      <c r="Q260" s="199"/>
      <c r="R260" s="199"/>
      <c r="S260" s="199"/>
      <c r="T260" s="197" t="e">
        <f>SUM(T251:T259)</f>
        <v>#REF!</v>
      </c>
    </row>
    <row r="261" spans="1:20">
      <c r="A261" s="198"/>
      <c r="B261" s="198" t="s">
        <v>548</v>
      </c>
      <c r="C261" s="199"/>
      <c r="D261" s="426"/>
      <c r="E261" s="199"/>
      <c r="F261" s="197" t="e">
        <f>SUM(F252:F260)</f>
        <v>#REF!</v>
      </c>
      <c r="H261" s="367"/>
      <c r="I261" s="367"/>
      <c r="J261" s="368"/>
      <c r="K261" s="431"/>
      <c r="L261" s="368"/>
      <c r="M261" s="369"/>
      <c r="O261" s="367"/>
      <c r="P261" s="367"/>
      <c r="Q261" s="368"/>
      <c r="R261" s="368"/>
      <c r="S261" s="368"/>
      <c r="T261" s="369"/>
    </row>
    <row r="262" spans="1:20">
      <c r="A262" s="367"/>
      <c r="B262" s="367"/>
      <c r="C262" s="368"/>
      <c r="D262" s="431"/>
      <c r="E262" s="368"/>
      <c r="F262" s="369"/>
      <c r="H262" s="367"/>
      <c r="I262" s="367"/>
      <c r="J262" s="368"/>
      <c r="K262" s="431"/>
      <c r="L262" s="368"/>
      <c r="M262" s="369"/>
      <c r="O262" s="367"/>
      <c r="P262" s="367"/>
      <c r="Q262" s="368"/>
      <c r="R262" s="368"/>
      <c r="S262" s="368"/>
      <c r="T262" s="369"/>
    </row>
    <row r="263" spans="1:20">
      <c r="A263" s="199"/>
      <c r="B263" s="364" t="s">
        <v>807</v>
      </c>
      <c r="C263" s="199"/>
      <c r="D263" s="426"/>
      <c r="E263" s="199"/>
      <c r="F263" s="199"/>
      <c r="O263" s="211"/>
      <c r="P263" s="211"/>
      <c r="Q263" s="211"/>
      <c r="R263" s="211"/>
      <c r="S263" s="211"/>
      <c r="T263" s="211"/>
    </row>
    <row r="264" spans="1:20">
      <c r="A264" s="213"/>
      <c r="B264" s="214"/>
      <c r="C264" s="214"/>
      <c r="D264" s="429"/>
      <c r="E264" s="214"/>
      <c r="F264" s="215"/>
      <c r="H264" s="199"/>
      <c r="I264" s="364" t="s">
        <v>804</v>
      </c>
      <c r="J264" s="199"/>
      <c r="K264" s="426"/>
      <c r="L264" s="199"/>
      <c r="M264" s="199"/>
      <c r="O264" s="199"/>
      <c r="P264" s="364" t="s">
        <v>804</v>
      </c>
      <c r="Q264" s="199"/>
      <c r="R264" s="199"/>
      <c r="S264" s="199"/>
      <c r="T264" s="199"/>
    </row>
    <row r="265" spans="1:20">
      <c r="A265" s="205"/>
      <c r="B265" s="219" t="s">
        <v>593</v>
      </c>
      <c r="C265" s="219">
        <v>1.05</v>
      </c>
      <c r="D265" s="427" t="s">
        <v>25</v>
      </c>
      <c r="E265" s="208" t="e">
        <f>+E348</f>
        <v>#REF!</v>
      </c>
      <c r="F265" s="209" t="e">
        <f t="shared" ref="F265:F267" si="67">+C265*E265</f>
        <v>#REF!</v>
      </c>
      <c r="H265" s="213"/>
      <c r="I265" s="214"/>
      <c r="J265" s="214"/>
      <c r="K265" s="429"/>
      <c r="L265" s="214"/>
      <c r="M265" s="215"/>
      <c r="O265" s="213"/>
      <c r="P265" s="214"/>
      <c r="Q265" s="214"/>
      <c r="R265" s="214"/>
      <c r="S265" s="214"/>
      <c r="T265" s="215"/>
    </row>
    <row r="266" spans="1:20">
      <c r="A266" s="205"/>
      <c r="B266" s="219" t="s">
        <v>43</v>
      </c>
      <c r="C266" s="219" t="e">
        <f>#REF!</f>
        <v>#REF!</v>
      </c>
      <c r="D266" s="427" t="s">
        <v>13</v>
      </c>
      <c r="E266" s="216" t="e">
        <f>+E349</f>
        <v>#REF!</v>
      </c>
      <c r="F266" s="209" t="e">
        <f t="shared" si="67"/>
        <v>#REF!</v>
      </c>
      <c r="H266" s="205"/>
      <c r="I266" s="219" t="s">
        <v>593</v>
      </c>
      <c r="J266" s="219">
        <v>1.05</v>
      </c>
      <c r="K266" s="427" t="s">
        <v>25</v>
      </c>
      <c r="L266" s="208" t="e">
        <f>L238</f>
        <v>#REF!</v>
      </c>
      <c r="M266" s="209" t="e">
        <f t="shared" ref="M266:M268" si="68">+J266*L266</f>
        <v>#REF!</v>
      </c>
      <c r="O266" s="205"/>
      <c r="P266" s="219" t="s">
        <v>593</v>
      </c>
      <c r="Q266" s="219">
        <v>1.05</v>
      </c>
      <c r="R266" s="201" t="s">
        <v>25</v>
      </c>
      <c r="S266" s="208" t="e">
        <f>S238</f>
        <v>#REF!</v>
      </c>
      <c r="T266" s="209" t="e">
        <f t="shared" ref="T266:T268" si="69">+Q266*S266</f>
        <v>#REF!</v>
      </c>
    </row>
    <row r="267" spans="1:20">
      <c r="A267" s="205"/>
      <c r="B267" s="201" t="s">
        <v>14</v>
      </c>
      <c r="C267" s="219" t="e">
        <f>SUM(C266)*2</f>
        <v>#REF!</v>
      </c>
      <c r="D267" s="427" t="s">
        <v>15</v>
      </c>
      <c r="E267" s="208" t="e">
        <f>E350</f>
        <v>#REF!</v>
      </c>
      <c r="F267" s="209" t="e">
        <f t="shared" si="67"/>
        <v>#REF!</v>
      </c>
      <c r="H267" s="205"/>
      <c r="I267" s="219" t="s">
        <v>43</v>
      </c>
      <c r="J267" s="219" t="e">
        <f>#REF!</f>
        <v>#REF!</v>
      </c>
      <c r="K267" s="427" t="s">
        <v>13</v>
      </c>
      <c r="L267" s="208" t="e">
        <f>L239</f>
        <v>#REF!</v>
      </c>
      <c r="M267" s="209" t="e">
        <f t="shared" si="68"/>
        <v>#REF!</v>
      </c>
      <c r="O267" s="205"/>
      <c r="P267" s="219" t="s">
        <v>43</v>
      </c>
      <c r="Q267" s="219" t="e">
        <f>#REF!</f>
        <v>#REF!</v>
      </c>
      <c r="R267" s="201" t="s">
        <v>13</v>
      </c>
      <c r="S267" s="208" t="e">
        <f>S239</f>
        <v>#REF!</v>
      </c>
      <c r="T267" s="209" t="e">
        <f t="shared" si="69"/>
        <v>#REF!</v>
      </c>
    </row>
    <row r="268" spans="1:20">
      <c r="A268" s="205"/>
      <c r="B268" s="330" t="s">
        <v>49</v>
      </c>
      <c r="C268" s="325">
        <f>1/(0.2*0.3)</f>
        <v>16.666666666666668</v>
      </c>
      <c r="D268" s="326" t="s">
        <v>36</v>
      </c>
      <c r="E268" s="327">
        <v>165.66</v>
      </c>
      <c r="F268" s="328">
        <f t="shared" ref="F268:F270" si="70">C268*E268</f>
        <v>2761</v>
      </c>
      <c r="H268" s="205"/>
      <c r="I268" s="201" t="s">
        <v>800</v>
      </c>
      <c r="J268" s="219" t="e">
        <f>SUM(J267)*2</f>
        <v>#REF!</v>
      </c>
      <c r="K268" s="427" t="s">
        <v>15</v>
      </c>
      <c r="L268" s="208" t="e">
        <f>L240</f>
        <v>#REF!</v>
      </c>
      <c r="M268" s="209" t="e">
        <f t="shared" si="68"/>
        <v>#REF!</v>
      </c>
      <c r="O268" s="205"/>
      <c r="P268" s="201" t="s">
        <v>800</v>
      </c>
      <c r="Q268" s="219" t="e">
        <f>SUM(Q267)*2</f>
        <v>#REF!</v>
      </c>
      <c r="R268" s="201" t="s">
        <v>15</v>
      </c>
      <c r="S268" s="208" t="e">
        <f>S240</f>
        <v>#REF!</v>
      </c>
      <c r="T268" s="209" t="e">
        <f t="shared" si="69"/>
        <v>#REF!</v>
      </c>
    </row>
    <row r="269" spans="1:20">
      <c r="A269" s="205"/>
      <c r="B269" s="330" t="s">
        <v>670</v>
      </c>
      <c r="C269" s="325">
        <f>(0.2+0.3)*2*C268</f>
        <v>16.666666666666668</v>
      </c>
      <c r="D269" s="326" t="s">
        <v>39</v>
      </c>
      <c r="E269" s="327">
        <v>28.72</v>
      </c>
      <c r="F269" s="328">
        <f t="shared" si="70"/>
        <v>478.66666666666669</v>
      </c>
      <c r="H269" s="205"/>
      <c r="I269" s="330" t="s">
        <v>802</v>
      </c>
      <c r="J269" s="325">
        <f>1/(0.2*0.2)</f>
        <v>24.999999999999996</v>
      </c>
      <c r="K269" s="326" t="s">
        <v>36</v>
      </c>
      <c r="L269" s="327">
        <v>165.66</v>
      </c>
      <c r="M269" s="328">
        <f t="shared" ref="M269:M271" si="71">J269*L269</f>
        <v>4141.4999999999991</v>
      </c>
      <c r="O269" s="205"/>
      <c r="P269" s="330" t="s">
        <v>802</v>
      </c>
      <c r="Q269" s="325">
        <f>1/(0.2*0.2)</f>
        <v>24.999999999999996</v>
      </c>
      <c r="R269" s="326" t="s">
        <v>36</v>
      </c>
      <c r="S269" s="327">
        <v>165.66</v>
      </c>
      <c r="T269" s="328">
        <f t="shared" ref="T269:T271" si="72">Q269*S269</f>
        <v>4141.4999999999991</v>
      </c>
    </row>
    <row r="270" spans="1:20">
      <c r="A270" s="205"/>
      <c r="B270" s="330" t="s">
        <v>31</v>
      </c>
      <c r="C270" s="325" t="e">
        <f>SUM(C266:C266)</f>
        <v>#REF!</v>
      </c>
      <c r="D270" s="326" t="s">
        <v>0</v>
      </c>
      <c r="E270" s="327" t="e">
        <f>#REF!</f>
        <v>#REF!</v>
      </c>
      <c r="F270" s="328" t="e">
        <f t="shared" si="70"/>
        <v>#REF!</v>
      </c>
      <c r="H270" s="205"/>
      <c r="I270" s="330" t="s">
        <v>670</v>
      </c>
      <c r="J270" s="325">
        <f>(0.2+0.2)*2*J269</f>
        <v>20</v>
      </c>
      <c r="K270" s="326" t="s">
        <v>39</v>
      </c>
      <c r="L270" s="327">
        <v>28.72</v>
      </c>
      <c r="M270" s="328">
        <f t="shared" si="71"/>
        <v>574.4</v>
      </c>
      <c r="O270" s="205"/>
      <c r="P270" s="330" t="s">
        <v>670</v>
      </c>
      <c r="Q270" s="325">
        <f>(0.2+0.2)*2*Q269</f>
        <v>20</v>
      </c>
      <c r="R270" s="326" t="s">
        <v>39</v>
      </c>
      <c r="S270" s="327">
        <v>28.72</v>
      </c>
      <c r="T270" s="328">
        <f t="shared" si="72"/>
        <v>574.4</v>
      </c>
    </row>
    <row r="271" spans="1:20">
      <c r="A271" s="205"/>
      <c r="B271" s="330" t="s">
        <v>123</v>
      </c>
      <c r="C271" s="325">
        <v>1</v>
      </c>
      <c r="D271" s="326" t="s">
        <v>25</v>
      </c>
      <c r="E271" s="327" t="e">
        <f>E354</f>
        <v>#REF!</v>
      </c>
      <c r="F271" s="328"/>
      <c r="H271" s="205"/>
      <c r="I271" s="330" t="s">
        <v>31</v>
      </c>
      <c r="J271" s="325" t="e">
        <f>SUM(J267:J267)</f>
        <v>#REF!</v>
      </c>
      <c r="K271" s="326" t="s">
        <v>0</v>
      </c>
      <c r="L271" s="327" t="e">
        <f>#REF!</f>
        <v>#REF!</v>
      </c>
      <c r="M271" s="328" t="e">
        <f t="shared" si="71"/>
        <v>#REF!</v>
      </c>
      <c r="O271" s="205"/>
      <c r="P271" s="330" t="s">
        <v>31</v>
      </c>
      <c r="Q271" s="325" t="e">
        <f>SUM(Q267:Q267)</f>
        <v>#REF!</v>
      </c>
      <c r="R271" s="326" t="s">
        <v>0</v>
      </c>
      <c r="S271" s="327" t="e">
        <f>L271</f>
        <v>#REF!</v>
      </c>
      <c r="T271" s="328" t="e">
        <f t="shared" si="72"/>
        <v>#REF!</v>
      </c>
    </row>
    <row r="272" spans="1:20">
      <c r="A272" s="205"/>
      <c r="B272" s="330" t="s">
        <v>7</v>
      </c>
      <c r="C272" s="325" t="e">
        <f>SUM(F265:F268)</f>
        <v>#REF!</v>
      </c>
      <c r="D272" s="326" t="s">
        <v>8</v>
      </c>
      <c r="E272" s="327" t="e">
        <f>E355</f>
        <v>#REF!</v>
      </c>
      <c r="F272" s="328" t="e">
        <f t="shared" ref="F272" si="73">C272*E272</f>
        <v>#REF!</v>
      </c>
      <c r="H272" s="205"/>
      <c r="I272" s="330" t="s">
        <v>123</v>
      </c>
      <c r="J272" s="325">
        <v>1</v>
      </c>
      <c r="K272" s="326" t="s">
        <v>25</v>
      </c>
      <c r="L272" s="327" t="e">
        <f>E301</f>
        <v>#REF!</v>
      </c>
      <c r="M272" s="328"/>
      <c r="O272" s="205"/>
      <c r="P272" s="330" t="s">
        <v>123</v>
      </c>
      <c r="Q272" s="325">
        <v>1</v>
      </c>
      <c r="R272" s="326" t="s">
        <v>25</v>
      </c>
      <c r="S272" s="327" t="e">
        <f>S257</f>
        <v>#REF!</v>
      </c>
      <c r="T272" s="328"/>
    </row>
    <row r="273" spans="1:20">
      <c r="A273" s="205"/>
      <c r="B273" s="210"/>
      <c r="C273" s="207"/>
      <c r="D273" s="428"/>
      <c r="E273" s="208"/>
      <c r="F273" s="209"/>
      <c r="H273" s="205"/>
      <c r="I273" s="330" t="s">
        <v>7</v>
      </c>
      <c r="J273" s="325" t="e">
        <f>SUM(M266:M269)</f>
        <v>#REF!</v>
      </c>
      <c r="K273" s="326" t="s">
        <v>8</v>
      </c>
      <c r="L273" s="327" t="e">
        <f>E302</f>
        <v>#REF!</v>
      </c>
      <c r="M273" s="328" t="e">
        <f t="shared" ref="M273" si="74">J273*L273</f>
        <v>#REF!</v>
      </c>
      <c r="O273" s="205"/>
      <c r="P273" s="330" t="s">
        <v>7</v>
      </c>
      <c r="Q273" s="325" t="e">
        <f>SUM(T266:T269)</f>
        <v>#REF!</v>
      </c>
      <c r="R273" s="326" t="s">
        <v>8</v>
      </c>
      <c r="S273" s="327" t="e">
        <f>S258</f>
        <v>#REF!</v>
      </c>
      <c r="T273" s="328" t="e">
        <f t="shared" ref="T273" si="75">Q273*S273</f>
        <v>#REF!</v>
      </c>
    </row>
    <row r="274" spans="1:20">
      <c r="A274" s="198"/>
      <c r="B274" s="198" t="s">
        <v>548</v>
      </c>
      <c r="C274" s="199"/>
      <c r="D274" s="426"/>
      <c r="E274" s="199"/>
      <c r="F274" s="197" t="e">
        <f>SUM(F265:F273)</f>
        <v>#REF!</v>
      </c>
      <c r="H274" s="205"/>
      <c r="I274" s="210"/>
      <c r="J274" s="207"/>
      <c r="K274" s="428"/>
      <c r="L274" s="208"/>
      <c r="M274" s="209"/>
      <c r="O274" s="205"/>
      <c r="P274" s="210"/>
      <c r="Q274" s="207"/>
      <c r="R274" s="206"/>
      <c r="S274" s="208"/>
      <c r="T274" s="209"/>
    </row>
    <row r="275" spans="1:20">
      <c r="A275" s="212"/>
      <c r="B275" s="212"/>
      <c r="C275" s="212"/>
      <c r="D275" s="432"/>
      <c r="E275" s="212"/>
      <c r="F275" s="212"/>
      <c r="H275" s="198"/>
      <c r="I275" s="198" t="s">
        <v>548</v>
      </c>
      <c r="J275" s="199"/>
      <c r="K275" s="426"/>
      <c r="L275" s="199"/>
      <c r="M275" s="197" t="e">
        <f>SUM(M266:M274)</f>
        <v>#REF!</v>
      </c>
      <c r="O275" s="198"/>
      <c r="P275" s="198" t="s">
        <v>548</v>
      </c>
      <c r="Q275" s="199"/>
      <c r="R275" s="199"/>
      <c r="S275" s="199"/>
      <c r="T275" s="197" t="e">
        <f>SUM(T266:T274)</f>
        <v>#REF!</v>
      </c>
    </row>
    <row r="276" spans="1:20">
      <c r="A276" s="199"/>
      <c r="B276" s="364" t="s">
        <v>808</v>
      </c>
      <c r="C276" s="199"/>
      <c r="D276" s="426"/>
      <c r="E276" s="199"/>
      <c r="F276" s="199"/>
    </row>
    <row r="277" spans="1:20">
      <c r="A277" s="213"/>
      <c r="B277" s="214"/>
      <c r="C277" s="214"/>
      <c r="D277" s="429"/>
      <c r="E277" s="214"/>
      <c r="F277" s="215"/>
      <c r="H277" s="199"/>
      <c r="I277" s="364" t="s">
        <v>805</v>
      </c>
      <c r="J277" s="199"/>
      <c r="K277" s="426"/>
      <c r="L277" s="199"/>
      <c r="M277" s="199"/>
    </row>
    <row r="278" spans="1:20">
      <c r="A278" s="205"/>
      <c r="B278" s="219" t="s">
        <v>593</v>
      </c>
      <c r="C278" s="219">
        <v>1.05</v>
      </c>
      <c r="D278" s="427" t="s">
        <v>25</v>
      </c>
      <c r="E278" s="208" t="e">
        <f>+E308</f>
        <v>#REF!</v>
      </c>
      <c r="F278" s="209" t="e">
        <f t="shared" ref="F278:F280" si="76">+C278*E278</f>
        <v>#REF!</v>
      </c>
      <c r="H278" s="213"/>
      <c r="I278" s="214"/>
      <c r="J278" s="214"/>
      <c r="K278" s="429"/>
      <c r="L278" s="214"/>
      <c r="M278" s="215"/>
    </row>
    <row r="279" spans="1:20">
      <c r="A279" s="205"/>
      <c r="B279" s="219" t="s">
        <v>43</v>
      </c>
      <c r="C279" s="219" t="e">
        <f>#REF!</f>
        <v>#REF!</v>
      </c>
      <c r="D279" s="427" t="s">
        <v>13</v>
      </c>
      <c r="E279" s="216" t="e">
        <f>+E309</f>
        <v>#REF!</v>
      </c>
      <c r="F279" s="209" t="e">
        <f t="shared" si="76"/>
        <v>#REF!</v>
      </c>
      <c r="H279" s="205"/>
      <c r="I279" s="219" t="s">
        <v>593</v>
      </c>
      <c r="J279" s="219">
        <v>1.05</v>
      </c>
      <c r="K279" s="427" t="s">
        <v>25</v>
      </c>
      <c r="L279" s="208" t="e">
        <f>L251</f>
        <v>#REF!</v>
      </c>
      <c r="M279" s="209" t="e">
        <f t="shared" ref="M279:M281" si="77">+J279*L279</f>
        <v>#REF!</v>
      </c>
    </row>
    <row r="280" spans="1:20">
      <c r="A280" s="205"/>
      <c r="B280" s="201" t="s">
        <v>14</v>
      </c>
      <c r="C280" s="219" t="e">
        <f>SUM(C279)*2</f>
        <v>#REF!</v>
      </c>
      <c r="D280" s="427" t="s">
        <v>15</v>
      </c>
      <c r="E280" s="208" t="e">
        <f>E310</f>
        <v>#REF!</v>
      </c>
      <c r="F280" s="209" t="e">
        <f t="shared" si="76"/>
        <v>#REF!</v>
      </c>
      <c r="H280" s="205"/>
      <c r="I280" s="219" t="s">
        <v>43</v>
      </c>
      <c r="J280" s="219" t="e">
        <f>J267</f>
        <v>#REF!</v>
      </c>
      <c r="K280" s="427" t="s">
        <v>13</v>
      </c>
      <c r="L280" s="208" t="e">
        <f>L252</f>
        <v>#REF!</v>
      </c>
      <c r="M280" s="209" t="e">
        <f t="shared" si="77"/>
        <v>#REF!</v>
      </c>
    </row>
    <row r="281" spans="1:20">
      <c r="A281" s="205"/>
      <c r="B281" s="330" t="s">
        <v>49</v>
      </c>
      <c r="C281" s="325">
        <f>1/(0.2*0.3)</f>
        <v>16.666666666666668</v>
      </c>
      <c r="D281" s="326" t="s">
        <v>36</v>
      </c>
      <c r="E281" s="327">
        <v>165.66</v>
      </c>
      <c r="F281" s="328">
        <f t="shared" ref="F281:F283" si="78">C281*E281</f>
        <v>2761</v>
      </c>
      <c r="H281" s="205"/>
      <c r="I281" s="201" t="s">
        <v>800</v>
      </c>
      <c r="J281" s="219" t="e">
        <f>SUM(J280)*2</f>
        <v>#REF!</v>
      </c>
      <c r="K281" s="427" t="s">
        <v>15</v>
      </c>
      <c r="L281" s="208" t="e">
        <f>L253</f>
        <v>#REF!</v>
      </c>
      <c r="M281" s="209" t="e">
        <f t="shared" si="77"/>
        <v>#REF!</v>
      </c>
    </row>
    <row r="282" spans="1:20">
      <c r="A282" s="205"/>
      <c r="B282" s="330" t="s">
        <v>670</v>
      </c>
      <c r="C282" s="325">
        <f>(0.2+0.3)*2*C281</f>
        <v>16.666666666666668</v>
      </c>
      <c r="D282" s="326" t="s">
        <v>39</v>
      </c>
      <c r="E282" s="327">
        <v>28.72</v>
      </c>
      <c r="F282" s="328">
        <f t="shared" si="78"/>
        <v>478.66666666666669</v>
      </c>
      <c r="H282" s="205"/>
      <c r="I282" s="330" t="s">
        <v>802</v>
      </c>
      <c r="J282" s="325">
        <f>1/(0.2*0.2)</f>
        <v>24.999999999999996</v>
      </c>
      <c r="K282" s="326" t="s">
        <v>36</v>
      </c>
      <c r="L282" s="327">
        <v>165.66</v>
      </c>
      <c r="M282" s="328">
        <f t="shared" ref="M282:M284" si="79">J282*L282</f>
        <v>4141.4999999999991</v>
      </c>
    </row>
    <row r="283" spans="1:20">
      <c r="A283" s="205"/>
      <c r="B283" s="330" t="s">
        <v>31</v>
      </c>
      <c r="C283" s="325" t="e">
        <f>SUM(C279:C279)</f>
        <v>#REF!</v>
      </c>
      <c r="D283" s="326" t="s">
        <v>0</v>
      </c>
      <c r="E283" s="327" t="e">
        <f>#REF!</f>
        <v>#REF!</v>
      </c>
      <c r="F283" s="328" t="e">
        <f t="shared" si="78"/>
        <v>#REF!</v>
      </c>
      <c r="H283" s="205"/>
      <c r="I283" s="330" t="s">
        <v>670</v>
      </c>
      <c r="J283" s="325">
        <f>(0.2+0.2)*2*J282</f>
        <v>20</v>
      </c>
      <c r="K283" s="326" t="s">
        <v>39</v>
      </c>
      <c r="L283" s="327">
        <v>28.72</v>
      </c>
      <c r="M283" s="328">
        <f t="shared" si="79"/>
        <v>574.4</v>
      </c>
    </row>
    <row r="284" spans="1:20">
      <c r="A284" s="205"/>
      <c r="B284" s="330" t="s">
        <v>123</v>
      </c>
      <c r="C284" s="325">
        <v>1</v>
      </c>
      <c r="D284" s="326" t="s">
        <v>25</v>
      </c>
      <c r="E284" s="327" t="e">
        <f>E314</f>
        <v>#REF!</v>
      </c>
      <c r="F284" s="328"/>
      <c r="H284" s="205"/>
      <c r="I284" s="330" t="s">
        <v>31</v>
      </c>
      <c r="J284" s="325" t="e">
        <f>SUM(J280:J280)</f>
        <v>#REF!</v>
      </c>
      <c r="K284" s="326" t="s">
        <v>0</v>
      </c>
      <c r="L284" s="327" t="e">
        <f>#REF!</f>
        <v>#REF!</v>
      </c>
      <c r="M284" s="328" t="e">
        <f t="shared" si="79"/>
        <v>#REF!</v>
      </c>
    </row>
    <row r="285" spans="1:20">
      <c r="A285" s="205"/>
      <c r="B285" s="330" t="s">
        <v>7</v>
      </c>
      <c r="C285" s="325" t="e">
        <f>SUM(F278:F281)</f>
        <v>#REF!</v>
      </c>
      <c r="D285" s="326" t="s">
        <v>8</v>
      </c>
      <c r="E285" s="327" t="e">
        <f>E315</f>
        <v>#REF!</v>
      </c>
      <c r="F285" s="328" t="e">
        <f t="shared" ref="F285" si="80">C285*E285</f>
        <v>#REF!</v>
      </c>
      <c r="H285" s="205"/>
      <c r="I285" s="330" t="s">
        <v>123</v>
      </c>
      <c r="J285" s="325">
        <v>1</v>
      </c>
      <c r="K285" s="326" t="s">
        <v>25</v>
      </c>
      <c r="L285" s="327" t="e">
        <f>E258</f>
        <v>#REF!</v>
      </c>
      <c r="M285" s="328"/>
    </row>
    <row r="286" spans="1:20">
      <c r="A286" s="205"/>
      <c r="B286" s="210"/>
      <c r="C286" s="207"/>
      <c r="D286" s="428"/>
      <c r="E286" s="208"/>
      <c r="F286" s="209"/>
      <c r="H286" s="205"/>
      <c r="I286" s="330" t="s">
        <v>7</v>
      </c>
      <c r="J286" s="325" t="e">
        <f>SUM(M279:M282)</f>
        <v>#REF!</v>
      </c>
      <c r="K286" s="326" t="s">
        <v>8</v>
      </c>
      <c r="L286" s="327" t="e">
        <f>E259</f>
        <v>#REF!</v>
      </c>
      <c r="M286" s="328" t="e">
        <f t="shared" ref="M286" si="81">J286*L286</f>
        <v>#REF!</v>
      </c>
    </row>
    <row r="287" spans="1:20">
      <c r="A287" s="198"/>
      <c r="B287" s="198" t="s">
        <v>548</v>
      </c>
      <c r="C287" s="199"/>
      <c r="D287" s="426"/>
      <c r="E287" s="199"/>
      <c r="F287" s="197" t="e">
        <f>SUM(F278:F286)</f>
        <v>#REF!</v>
      </c>
      <c r="H287" s="205"/>
      <c r="I287" s="210"/>
      <c r="J287" s="207"/>
      <c r="K287" s="428"/>
      <c r="L287" s="208"/>
      <c r="M287" s="209"/>
    </row>
    <row r="288" spans="1:20">
      <c r="A288" s="212"/>
      <c r="B288" s="212"/>
      <c r="C288" s="212"/>
      <c r="D288" s="432"/>
      <c r="E288" s="212"/>
      <c r="F288" s="212"/>
      <c r="H288" s="198"/>
      <c r="I288" s="198" t="s">
        <v>548</v>
      </c>
      <c r="J288" s="199"/>
      <c r="K288" s="426"/>
      <c r="L288" s="199"/>
      <c r="M288" s="197" t="e">
        <f>SUM(M279:M287)</f>
        <v>#REF!</v>
      </c>
    </row>
    <row r="289" spans="1:13">
      <c r="A289" s="212"/>
      <c r="B289" s="212"/>
      <c r="C289" s="212"/>
      <c r="D289" s="432"/>
      <c r="E289" s="212"/>
      <c r="F289" s="212"/>
    </row>
    <row r="290" spans="1:13">
      <c r="A290" s="212"/>
      <c r="B290" s="212"/>
      <c r="C290" s="212"/>
      <c r="D290" s="432"/>
      <c r="E290" s="212"/>
      <c r="F290" s="212"/>
    </row>
    <row r="291" spans="1:13">
      <c r="A291" s="212"/>
      <c r="B291" s="212"/>
      <c r="C291" s="212"/>
      <c r="D291" s="432"/>
      <c r="E291" s="212"/>
      <c r="F291" s="212"/>
    </row>
    <row r="292" spans="1:13">
      <c r="A292" s="212"/>
      <c r="B292" s="212"/>
      <c r="C292" s="212"/>
      <c r="D292" s="432"/>
      <c r="E292" s="212"/>
      <c r="F292" s="212"/>
    </row>
    <row r="293" spans="1:13">
      <c r="A293" s="199"/>
      <c r="B293" s="364" t="s">
        <v>748</v>
      </c>
      <c r="C293" s="199"/>
      <c r="D293" s="426"/>
      <c r="E293" s="199"/>
      <c r="F293" s="199"/>
      <c r="H293" s="199"/>
      <c r="I293" s="364" t="s">
        <v>757</v>
      </c>
      <c r="J293" s="199"/>
      <c r="K293" s="426"/>
      <c r="L293" s="199"/>
      <c r="M293" s="199"/>
    </row>
    <row r="294" spans="1:13">
      <c r="A294" s="213"/>
      <c r="B294" s="214"/>
      <c r="C294" s="214"/>
      <c r="D294" s="429"/>
      <c r="E294" s="214"/>
      <c r="F294" s="215"/>
      <c r="H294" s="213"/>
      <c r="I294" s="214"/>
      <c r="J294" s="214"/>
      <c r="K294" s="429"/>
      <c r="L294" s="214"/>
      <c r="M294" s="215"/>
    </row>
    <row r="295" spans="1:13">
      <c r="A295" s="205"/>
      <c r="B295" s="219" t="s">
        <v>593</v>
      </c>
      <c r="C295" s="219">
        <v>1.05</v>
      </c>
      <c r="D295" s="427" t="s">
        <v>25</v>
      </c>
      <c r="E295" s="208" t="e">
        <f>E238</f>
        <v>#REF!</v>
      </c>
      <c r="F295" s="209" t="e">
        <f t="shared" ref="F295:F297" si="82">+C295*E295</f>
        <v>#REF!</v>
      </c>
      <c r="H295" s="205"/>
      <c r="I295" s="219" t="s">
        <v>593</v>
      </c>
      <c r="J295" s="219">
        <v>1.05</v>
      </c>
      <c r="K295" s="427" t="s">
        <v>25</v>
      </c>
      <c r="L295" s="208" t="e">
        <f>+L266</f>
        <v>#REF!</v>
      </c>
      <c r="M295" s="209" t="e">
        <f t="shared" ref="M295:M297" si="83">+J295*L295</f>
        <v>#REF!</v>
      </c>
    </row>
    <row r="296" spans="1:13">
      <c r="A296" s="205"/>
      <c r="B296" s="219" t="s">
        <v>43</v>
      </c>
      <c r="C296" s="219" t="e">
        <f>+#REF!</f>
        <v>#REF!</v>
      </c>
      <c r="D296" s="427" t="s">
        <v>13</v>
      </c>
      <c r="E296" s="216" t="e">
        <f>E239</f>
        <v>#REF!</v>
      </c>
      <c r="F296" s="209" t="e">
        <f t="shared" si="82"/>
        <v>#REF!</v>
      </c>
      <c r="H296" s="205"/>
      <c r="I296" s="219" t="s">
        <v>43</v>
      </c>
      <c r="J296" s="219" t="e">
        <f>+#REF!</f>
        <v>#REF!</v>
      </c>
      <c r="K296" s="427" t="s">
        <v>13</v>
      </c>
      <c r="L296" s="216" t="e">
        <f>+L267</f>
        <v>#REF!</v>
      </c>
      <c r="M296" s="209" t="e">
        <f t="shared" si="83"/>
        <v>#REF!</v>
      </c>
    </row>
    <row r="297" spans="1:13">
      <c r="A297" s="205"/>
      <c r="B297" s="201" t="s">
        <v>800</v>
      </c>
      <c r="C297" s="219" t="e">
        <f>SUM(C296)*2</f>
        <v>#REF!</v>
      </c>
      <c r="D297" s="427" t="s">
        <v>15</v>
      </c>
      <c r="E297" s="208" t="e">
        <f>E240</f>
        <v>#REF!</v>
      </c>
      <c r="F297" s="209" t="e">
        <f t="shared" si="82"/>
        <v>#REF!</v>
      </c>
      <c r="H297" s="205"/>
      <c r="I297" s="201" t="s">
        <v>800</v>
      </c>
      <c r="J297" s="219" t="e">
        <f>SUM(J296)*2</f>
        <v>#REF!</v>
      </c>
      <c r="K297" s="427" t="s">
        <v>15</v>
      </c>
      <c r="L297" s="208" t="e">
        <f>E350</f>
        <v>#REF!</v>
      </c>
      <c r="M297" s="209" t="e">
        <f t="shared" si="83"/>
        <v>#REF!</v>
      </c>
    </row>
    <row r="298" spans="1:13">
      <c r="A298" s="205"/>
      <c r="B298" s="330" t="s">
        <v>48</v>
      </c>
      <c r="C298" s="325">
        <f>1/(0.15*0.3)</f>
        <v>22.222222222222221</v>
      </c>
      <c r="D298" s="326" t="s">
        <v>36</v>
      </c>
      <c r="E298" s="327">
        <v>165.66</v>
      </c>
      <c r="F298" s="328">
        <f t="shared" ref="F298:F300" si="84">C298*E298</f>
        <v>3681.333333333333</v>
      </c>
      <c r="H298" s="205"/>
      <c r="I298" s="330" t="s">
        <v>125</v>
      </c>
      <c r="J298" s="325">
        <f>1/0.3</f>
        <v>3.3333333333333335</v>
      </c>
      <c r="K298" s="326" t="s">
        <v>11</v>
      </c>
      <c r="L298" s="327">
        <v>425</v>
      </c>
      <c r="M298" s="328">
        <f t="shared" ref="M298:M301" si="85">J298*L298</f>
        <v>1416.6666666666667</v>
      </c>
    </row>
    <row r="299" spans="1:13">
      <c r="A299" s="205"/>
      <c r="B299" s="330" t="s">
        <v>670</v>
      </c>
      <c r="C299" s="325">
        <f>(0.15+0.3)*2*C298</f>
        <v>19.999999999999996</v>
      </c>
      <c r="D299" s="326" t="s">
        <v>39</v>
      </c>
      <c r="E299" s="327">
        <v>28.72</v>
      </c>
      <c r="F299" s="328">
        <f t="shared" si="84"/>
        <v>574.39999999999986</v>
      </c>
      <c r="H299" s="205"/>
      <c r="I299" s="330" t="s">
        <v>31</v>
      </c>
      <c r="J299" s="325" t="e">
        <f>SUM(J296:J296)</f>
        <v>#REF!</v>
      </c>
      <c r="K299" s="326" t="s">
        <v>0</v>
      </c>
      <c r="L299" s="327" t="e">
        <f>E353</f>
        <v>#REF!</v>
      </c>
      <c r="M299" s="328" t="e">
        <f t="shared" si="85"/>
        <v>#REF!</v>
      </c>
    </row>
    <row r="300" spans="1:13">
      <c r="A300" s="205"/>
      <c r="B300" s="330" t="s">
        <v>31</v>
      </c>
      <c r="C300" s="325" t="e">
        <f>SUM(C296:C296)</f>
        <v>#REF!</v>
      </c>
      <c r="D300" s="326" t="s">
        <v>0</v>
      </c>
      <c r="E300" s="327" t="e">
        <f>#REF!</f>
        <v>#REF!</v>
      </c>
      <c r="F300" s="328" t="e">
        <f t="shared" si="84"/>
        <v>#REF!</v>
      </c>
      <c r="H300" s="205"/>
      <c r="I300" s="330" t="s">
        <v>47</v>
      </c>
      <c r="J300" s="325">
        <v>1</v>
      </c>
      <c r="K300" s="326" t="s">
        <v>25</v>
      </c>
      <c r="L300" s="327" t="e">
        <f>#REF!</f>
        <v>#REF!</v>
      </c>
      <c r="M300" s="328" t="e">
        <f t="shared" si="85"/>
        <v>#REF!</v>
      </c>
    </row>
    <row r="301" spans="1:13">
      <c r="A301" s="205"/>
      <c r="B301" s="330" t="s">
        <v>123</v>
      </c>
      <c r="C301" s="325">
        <v>1</v>
      </c>
      <c r="D301" s="326" t="s">
        <v>25</v>
      </c>
      <c r="E301" s="327" t="e">
        <f>E244</f>
        <v>#REF!</v>
      </c>
      <c r="F301" s="328"/>
      <c r="H301" s="205"/>
      <c r="I301" s="330" t="s">
        <v>7</v>
      </c>
      <c r="J301" s="325" t="e">
        <f>SUM(M295:M298)</f>
        <v>#REF!</v>
      </c>
      <c r="K301" s="326" t="s">
        <v>8</v>
      </c>
      <c r="L301" s="327" t="e">
        <f>#REF!</f>
        <v>#REF!</v>
      </c>
      <c r="M301" s="328" t="e">
        <f t="shared" si="85"/>
        <v>#REF!</v>
      </c>
    </row>
    <row r="302" spans="1:13">
      <c r="A302" s="205"/>
      <c r="B302" s="330" t="s">
        <v>7</v>
      </c>
      <c r="C302" s="325" t="e">
        <f>SUM(F295:F298)</f>
        <v>#REF!</v>
      </c>
      <c r="D302" s="326" t="s">
        <v>8</v>
      </c>
      <c r="E302" s="327" t="e">
        <f>E245</f>
        <v>#REF!</v>
      </c>
      <c r="F302" s="328" t="e">
        <f t="shared" ref="F302" si="86">C302*E302</f>
        <v>#REF!</v>
      </c>
      <c r="H302" s="205"/>
      <c r="I302" s="201"/>
      <c r="J302" s="219"/>
      <c r="K302" s="427"/>
      <c r="L302" s="208"/>
      <c r="M302" s="209"/>
    </row>
    <row r="303" spans="1:13">
      <c r="A303" s="205"/>
      <c r="B303" s="210"/>
      <c r="C303" s="207"/>
      <c r="D303" s="428"/>
      <c r="E303" s="208"/>
      <c r="F303" s="209"/>
      <c r="H303" s="205"/>
      <c r="I303" s="210"/>
      <c r="J303" s="207"/>
      <c r="K303" s="428"/>
      <c r="L303" s="208"/>
      <c r="M303" s="209"/>
    </row>
    <row r="304" spans="1:13">
      <c r="A304" s="198"/>
      <c r="B304" s="198" t="s">
        <v>548</v>
      </c>
      <c r="C304" s="199"/>
      <c r="D304" s="426"/>
      <c r="E304" s="199"/>
      <c r="F304" s="197" t="e">
        <f>SUM(F295:F303)</f>
        <v>#REF!</v>
      </c>
      <c r="H304" s="198"/>
      <c r="I304" s="198" t="s">
        <v>548</v>
      </c>
      <c r="J304" s="199"/>
      <c r="K304" s="426"/>
      <c r="L304" s="199"/>
      <c r="M304" s="197" t="e">
        <f>SUM(M295:M303)</f>
        <v>#REF!</v>
      </c>
    </row>
    <row r="306" spans="2:13">
      <c r="B306" s="364" t="s">
        <v>812</v>
      </c>
      <c r="C306" s="199"/>
      <c r="D306" s="426"/>
      <c r="E306" s="199"/>
      <c r="F306" s="199"/>
      <c r="H306" s="199"/>
      <c r="I306" s="364" t="s">
        <v>809</v>
      </c>
      <c r="J306" s="199"/>
      <c r="K306" s="426"/>
      <c r="L306" s="199"/>
      <c r="M306" s="199"/>
    </row>
    <row r="307" spans="2:13">
      <c r="B307" s="214"/>
      <c r="C307" s="214"/>
      <c r="D307" s="429"/>
      <c r="E307" s="214"/>
      <c r="F307" s="215"/>
      <c r="H307" s="213"/>
      <c r="I307" s="214"/>
      <c r="J307" s="214"/>
      <c r="K307" s="429"/>
      <c r="L307" s="214"/>
      <c r="M307" s="215"/>
    </row>
    <row r="308" spans="2:13">
      <c r="B308" s="219" t="s">
        <v>593</v>
      </c>
      <c r="C308" s="219">
        <v>1.05</v>
      </c>
      <c r="D308" s="427" t="s">
        <v>25</v>
      </c>
      <c r="E308" s="208" t="e">
        <f>+E265</f>
        <v>#REF!</v>
      </c>
      <c r="F308" s="209" t="e">
        <f t="shared" ref="F308:F310" si="87">+C308*E308</f>
        <v>#REF!</v>
      </c>
      <c r="H308" s="205"/>
      <c r="I308" s="219" t="s">
        <v>593</v>
      </c>
      <c r="J308" s="219">
        <v>1.05</v>
      </c>
      <c r="K308" s="427" t="s">
        <v>25</v>
      </c>
      <c r="L308" s="208" t="e">
        <f>L295</f>
        <v>#REF!</v>
      </c>
      <c r="M308" s="209" t="e">
        <f t="shared" ref="M308:M310" si="88">+J308*L308</f>
        <v>#REF!</v>
      </c>
    </row>
    <row r="309" spans="2:13">
      <c r="B309" s="219" t="s">
        <v>43</v>
      </c>
      <c r="C309" s="219" t="e">
        <f>#REF!</f>
        <v>#REF!</v>
      </c>
      <c r="D309" s="427" t="s">
        <v>13</v>
      </c>
      <c r="E309" s="216" t="e">
        <f>+E266</f>
        <v>#REF!</v>
      </c>
      <c r="F309" s="209" t="e">
        <f t="shared" si="87"/>
        <v>#REF!</v>
      </c>
      <c r="H309" s="205"/>
      <c r="I309" s="219" t="s">
        <v>43</v>
      </c>
      <c r="J309" s="219" t="e">
        <f>#REF!</f>
        <v>#REF!</v>
      </c>
      <c r="K309" s="427" t="s">
        <v>13</v>
      </c>
      <c r="L309" s="208" t="e">
        <f>L296</f>
        <v>#REF!</v>
      </c>
      <c r="M309" s="209" t="e">
        <f t="shared" si="88"/>
        <v>#REF!</v>
      </c>
    </row>
    <row r="310" spans="2:13">
      <c r="B310" s="201" t="s">
        <v>14</v>
      </c>
      <c r="C310" s="219" t="e">
        <f>SUM(C309)*2</f>
        <v>#REF!</v>
      </c>
      <c r="D310" s="427" t="s">
        <v>15</v>
      </c>
      <c r="E310" s="208" t="e">
        <f>E267</f>
        <v>#REF!</v>
      </c>
      <c r="F310" s="209" t="e">
        <f t="shared" si="87"/>
        <v>#REF!</v>
      </c>
      <c r="H310" s="205"/>
      <c r="I310" s="201" t="s">
        <v>14</v>
      </c>
      <c r="J310" s="219" t="e">
        <f>SUM(J309)*2</f>
        <v>#REF!</v>
      </c>
      <c r="K310" s="427" t="s">
        <v>15</v>
      </c>
      <c r="L310" s="208" t="e">
        <f>L297</f>
        <v>#REF!</v>
      </c>
      <c r="M310" s="209" t="e">
        <f t="shared" si="88"/>
        <v>#REF!</v>
      </c>
    </row>
    <row r="311" spans="2:13">
      <c r="B311" s="330" t="s">
        <v>48</v>
      </c>
      <c r="C311" s="325">
        <f>1/(0.15*0.3)</f>
        <v>22.222222222222221</v>
      </c>
      <c r="D311" s="326" t="s">
        <v>36</v>
      </c>
      <c r="E311" s="327">
        <v>165.66</v>
      </c>
      <c r="F311" s="328">
        <f t="shared" ref="F311:F313" si="89">C311*E311</f>
        <v>3681.333333333333</v>
      </c>
      <c r="H311" s="205"/>
      <c r="I311" s="330" t="s">
        <v>125</v>
      </c>
      <c r="J311" s="325">
        <f>1/0.3</f>
        <v>3.3333333333333335</v>
      </c>
      <c r="K311" s="326" t="s">
        <v>11</v>
      </c>
      <c r="L311" s="327">
        <v>425</v>
      </c>
      <c r="M311" s="328">
        <f t="shared" ref="M311:M314" si="90">J311*L311</f>
        <v>1416.6666666666667</v>
      </c>
    </row>
    <row r="312" spans="2:13">
      <c r="B312" s="330" t="s">
        <v>670</v>
      </c>
      <c r="C312" s="325">
        <f>(0.15+0.3)*2*C311</f>
        <v>19.999999999999996</v>
      </c>
      <c r="D312" s="326" t="s">
        <v>39</v>
      </c>
      <c r="E312" s="327">
        <v>28.72</v>
      </c>
      <c r="F312" s="328">
        <f t="shared" si="89"/>
        <v>574.39999999999986</v>
      </c>
      <c r="H312" s="205"/>
      <c r="I312" s="330" t="s">
        <v>31</v>
      </c>
      <c r="J312" s="325" t="e">
        <f>SUM(J309:J309)</f>
        <v>#REF!</v>
      </c>
      <c r="K312" s="326" t="s">
        <v>0</v>
      </c>
      <c r="L312" s="327" t="e">
        <f>#REF!</f>
        <v>#REF!</v>
      </c>
      <c r="M312" s="328" t="e">
        <f t="shared" si="90"/>
        <v>#REF!</v>
      </c>
    </row>
    <row r="313" spans="2:13">
      <c r="B313" s="330" t="s">
        <v>31</v>
      </c>
      <c r="C313" s="325" t="e">
        <f>SUM(C309:C309)</f>
        <v>#REF!</v>
      </c>
      <c r="D313" s="326" t="s">
        <v>0</v>
      </c>
      <c r="E313" s="327" t="e">
        <f>#REF!</f>
        <v>#REF!</v>
      </c>
      <c r="F313" s="328" t="e">
        <f t="shared" si="89"/>
        <v>#REF!</v>
      </c>
      <c r="H313" s="205"/>
      <c r="I313" s="330" t="s">
        <v>47</v>
      </c>
      <c r="J313" s="325">
        <v>1</v>
      </c>
      <c r="K313" s="326" t="s">
        <v>25</v>
      </c>
      <c r="L313" s="327" t="e">
        <f>L300</f>
        <v>#REF!</v>
      </c>
      <c r="M313" s="328" t="e">
        <f t="shared" si="90"/>
        <v>#REF!</v>
      </c>
    </row>
    <row r="314" spans="2:13">
      <c r="B314" s="330" t="s">
        <v>123</v>
      </c>
      <c r="C314" s="325">
        <v>1</v>
      </c>
      <c r="D314" s="326" t="s">
        <v>25</v>
      </c>
      <c r="E314" s="327" t="e">
        <f>E271</f>
        <v>#REF!</v>
      </c>
      <c r="F314" s="328"/>
      <c r="H314" s="205"/>
      <c r="I314" s="330" t="s">
        <v>7</v>
      </c>
      <c r="J314" s="325" t="e">
        <f>SUM(M308:M311)</f>
        <v>#REF!</v>
      </c>
      <c r="K314" s="326" t="s">
        <v>8</v>
      </c>
      <c r="L314" s="327" t="e">
        <f>L301</f>
        <v>#REF!</v>
      </c>
      <c r="M314" s="328" t="e">
        <f t="shared" si="90"/>
        <v>#REF!</v>
      </c>
    </row>
    <row r="315" spans="2:13">
      <c r="B315" s="330" t="s">
        <v>7</v>
      </c>
      <c r="C315" s="325" t="e">
        <f>SUM(F308:F311)</f>
        <v>#REF!</v>
      </c>
      <c r="D315" s="326" t="s">
        <v>8</v>
      </c>
      <c r="E315" s="327" t="e">
        <f>E272</f>
        <v>#REF!</v>
      </c>
      <c r="F315" s="328" t="e">
        <f t="shared" ref="F315" si="91">C315*E315</f>
        <v>#REF!</v>
      </c>
      <c r="H315" s="205"/>
      <c r="I315" s="201"/>
      <c r="J315" s="219"/>
      <c r="K315" s="427"/>
      <c r="L315" s="208"/>
      <c r="M315" s="209"/>
    </row>
    <row r="316" spans="2:13">
      <c r="B316" s="210"/>
      <c r="C316" s="207"/>
      <c r="D316" s="428"/>
      <c r="E316" s="208"/>
      <c r="F316" s="209"/>
      <c r="H316" s="205"/>
      <c r="I316" s="210"/>
      <c r="J316" s="207"/>
      <c r="K316" s="428"/>
      <c r="L316" s="208"/>
      <c r="M316" s="209"/>
    </row>
    <row r="317" spans="2:13">
      <c r="B317" s="198" t="s">
        <v>548</v>
      </c>
      <c r="C317" s="199"/>
      <c r="D317" s="426"/>
      <c r="E317" s="199"/>
      <c r="F317" s="197" t="e">
        <f>SUM(F308:F316)</f>
        <v>#REF!</v>
      </c>
      <c r="H317" s="198"/>
      <c r="I317" s="198" t="s">
        <v>548</v>
      </c>
      <c r="J317" s="199"/>
      <c r="K317" s="426"/>
      <c r="L317" s="199"/>
      <c r="M317" s="197" t="e">
        <f>SUM(M308:M316)</f>
        <v>#REF!</v>
      </c>
    </row>
    <row r="319" spans="2:13">
      <c r="B319" s="364" t="s">
        <v>813</v>
      </c>
      <c r="C319" s="199"/>
      <c r="D319" s="426"/>
      <c r="E319" s="199"/>
      <c r="F319" s="199"/>
    </row>
    <row r="320" spans="2:13">
      <c r="B320" s="214"/>
      <c r="C320" s="214"/>
      <c r="D320" s="429"/>
      <c r="E320" s="214"/>
      <c r="F320" s="215"/>
      <c r="H320" s="199"/>
      <c r="I320" s="364" t="s">
        <v>810</v>
      </c>
      <c r="J320" s="199"/>
      <c r="K320" s="426"/>
      <c r="L320" s="199"/>
      <c r="M320" s="199"/>
    </row>
    <row r="321" spans="2:13">
      <c r="B321" s="219" t="s">
        <v>593</v>
      </c>
      <c r="C321" s="219">
        <v>1.05</v>
      </c>
      <c r="D321" s="427" t="s">
        <v>25</v>
      </c>
      <c r="E321" s="208" t="e">
        <f>+E278</f>
        <v>#REF!</v>
      </c>
      <c r="F321" s="209" t="e">
        <f t="shared" ref="F321:F323" si="92">+C321*E321</f>
        <v>#REF!</v>
      </c>
      <c r="H321" s="213"/>
      <c r="I321" s="214"/>
      <c r="J321" s="214"/>
      <c r="K321" s="429"/>
      <c r="L321" s="214"/>
      <c r="M321" s="215"/>
    </row>
    <row r="322" spans="2:13">
      <c r="B322" s="219" t="s">
        <v>43</v>
      </c>
      <c r="C322" s="219" t="e">
        <f>#REF!</f>
        <v>#REF!</v>
      </c>
      <c r="D322" s="427" t="s">
        <v>13</v>
      </c>
      <c r="E322" s="216" t="e">
        <f>+E279</f>
        <v>#REF!</v>
      </c>
      <c r="F322" s="209" t="e">
        <f t="shared" si="92"/>
        <v>#REF!</v>
      </c>
      <c r="H322" s="205"/>
      <c r="I322" s="219" t="s">
        <v>593</v>
      </c>
      <c r="J322" s="219">
        <v>1.05</v>
      </c>
      <c r="K322" s="427" t="s">
        <v>25</v>
      </c>
      <c r="L322" s="208" t="e">
        <f>L308</f>
        <v>#REF!</v>
      </c>
      <c r="M322" s="209" t="e">
        <f t="shared" ref="M322:M324" si="93">+J322*L322</f>
        <v>#REF!</v>
      </c>
    </row>
    <row r="323" spans="2:13">
      <c r="B323" s="201" t="s">
        <v>14</v>
      </c>
      <c r="C323" s="219" t="e">
        <f>SUM(C322)*2</f>
        <v>#REF!</v>
      </c>
      <c r="D323" s="427" t="s">
        <v>15</v>
      </c>
      <c r="E323" s="208" t="e">
        <f>E280</f>
        <v>#REF!</v>
      </c>
      <c r="F323" s="209" t="e">
        <f t="shared" si="92"/>
        <v>#REF!</v>
      </c>
      <c r="H323" s="205"/>
      <c r="I323" s="219" t="s">
        <v>43</v>
      </c>
      <c r="J323" s="219" t="e">
        <f>#REF!</f>
        <v>#REF!</v>
      </c>
      <c r="K323" s="427" t="s">
        <v>13</v>
      </c>
      <c r="L323" s="208" t="e">
        <f t="shared" ref="L323:L324" si="94">L309</f>
        <v>#REF!</v>
      </c>
      <c r="M323" s="209" t="e">
        <f t="shared" si="93"/>
        <v>#REF!</v>
      </c>
    </row>
    <row r="324" spans="2:13">
      <c r="B324" s="330" t="s">
        <v>48</v>
      </c>
      <c r="C324" s="325">
        <f>1/(0.15*0.3)</f>
        <v>22.222222222222221</v>
      </c>
      <c r="D324" s="326" t="s">
        <v>36</v>
      </c>
      <c r="E324" s="327">
        <v>165.66</v>
      </c>
      <c r="F324" s="328">
        <f t="shared" ref="F324:F326" si="95">C324*E324</f>
        <v>3681.333333333333</v>
      </c>
      <c r="H324" s="205"/>
      <c r="I324" s="201" t="s">
        <v>14</v>
      </c>
      <c r="J324" s="219" t="e">
        <f>SUM(J323)*2</f>
        <v>#REF!</v>
      </c>
      <c r="K324" s="427" t="s">
        <v>15</v>
      </c>
      <c r="L324" s="208" t="e">
        <f t="shared" si="94"/>
        <v>#REF!</v>
      </c>
      <c r="M324" s="209" t="e">
        <f t="shared" si="93"/>
        <v>#REF!</v>
      </c>
    </row>
    <row r="325" spans="2:13">
      <c r="B325" s="330" t="s">
        <v>670</v>
      </c>
      <c r="C325" s="325">
        <f>(0.15+0.3)*2*C324</f>
        <v>19.999999999999996</v>
      </c>
      <c r="D325" s="326" t="s">
        <v>39</v>
      </c>
      <c r="E325" s="327">
        <v>28.72</v>
      </c>
      <c r="F325" s="328">
        <f t="shared" si="95"/>
        <v>574.39999999999986</v>
      </c>
      <c r="H325" s="205"/>
      <c r="I325" s="330" t="s">
        <v>125</v>
      </c>
      <c r="J325" s="325">
        <f>1/0.3</f>
        <v>3.3333333333333335</v>
      </c>
      <c r="K325" s="326" t="s">
        <v>11</v>
      </c>
      <c r="L325" s="327">
        <v>425</v>
      </c>
      <c r="M325" s="328">
        <f t="shared" ref="M325:M328" si="96">J325*L325</f>
        <v>1416.6666666666667</v>
      </c>
    </row>
    <row r="326" spans="2:13">
      <c r="B326" s="330" t="s">
        <v>31</v>
      </c>
      <c r="C326" s="325" t="e">
        <f>SUM(C322:C322)</f>
        <v>#REF!</v>
      </c>
      <c r="D326" s="326" t="s">
        <v>0</v>
      </c>
      <c r="E326" s="327" t="e">
        <f>#REF!</f>
        <v>#REF!</v>
      </c>
      <c r="F326" s="328" t="e">
        <f t="shared" si="95"/>
        <v>#REF!</v>
      </c>
      <c r="H326" s="205"/>
      <c r="I326" s="330" t="s">
        <v>31</v>
      </c>
      <c r="J326" s="325" t="e">
        <f>SUM(J323:J323)</f>
        <v>#REF!</v>
      </c>
      <c r="K326" s="326" t="s">
        <v>0</v>
      </c>
      <c r="L326" s="327" t="e">
        <f>#REF!</f>
        <v>#REF!</v>
      </c>
      <c r="M326" s="328" t="e">
        <f t="shared" si="96"/>
        <v>#REF!</v>
      </c>
    </row>
    <row r="327" spans="2:13">
      <c r="B327" s="330" t="s">
        <v>123</v>
      </c>
      <c r="C327" s="325">
        <v>1</v>
      </c>
      <c r="D327" s="326" t="s">
        <v>25</v>
      </c>
      <c r="E327" s="327" t="e">
        <f>E284</f>
        <v>#REF!</v>
      </c>
      <c r="F327" s="328"/>
      <c r="H327" s="205"/>
      <c r="I327" s="330" t="s">
        <v>47</v>
      </c>
      <c r="J327" s="325">
        <v>1</v>
      </c>
      <c r="K327" s="326" t="s">
        <v>25</v>
      </c>
      <c r="L327" s="327" t="e">
        <f>L314</f>
        <v>#REF!</v>
      </c>
      <c r="M327" s="328" t="e">
        <f t="shared" si="96"/>
        <v>#REF!</v>
      </c>
    </row>
    <row r="328" spans="2:13">
      <c r="B328" s="330" t="s">
        <v>7</v>
      </c>
      <c r="C328" s="325" t="e">
        <f>SUM(F321:F324)</f>
        <v>#REF!</v>
      </c>
      <c r="D328" s="326" t="s">
        <v>8</v>
      </c>
      <c r="E328" s="327" t="e">
        <f>E285</f>
        <v>#REF!</v>
      </c>
      <c r="F328" s="328" t="e">
        <f t="shared" ref="F328" si="97">C328*E328</f>
        <v>#REF!</v>
      </c>
      <c r="H328" s="205"/>
      <c r="I328" s="330" t="s">
        <v>7</v>
      </c>
      <c r="J328" s="325" t="e">
        <f>SUM(M322:M325)</f>
        <v>#REF!</v>
      </c>
      <c r="K328" s="326" t="s">
        <v>8</v>
      </c>
      <c r="L328" s="327">
        <f>L315</f>
        <v>0</v>
      </c>
      <c r="M328" s="328" t="e">
        <f t="shared" si="96"/>
        <v>#REF!</v>
      </c>
    </row>
    <row r="329" spans="2:13">
      <c r="B329" s="210"/>
      <c r="C329" s="207"/>
      <c r="D329" s="428"/>
      <c r="E329" s="208"/>
      <c r="F329" s="209"/>
      <c r="H329" s="205"/>
      <c r="I329" s="201"/>
      <c r="J329" s="219"/>
      <c r="K329" s="427"/>
      <c r="L329" s="208"/>
      <c r="M329" s="209"/>
    </row>
    <row r="330" spans="2:13">
      <c r="B330" s="198" t="s">
        <v>548</v>
      </c>
      <c r="C330" s="199"/>
      <c r="D330" s="426"/>
      <c r="E330" s="199"/>
      <c r="F330" s="197" t="e">
        <f>SUM(F321:F329)</f>
        <v>#REF!</v>
      </c>
      <c r="H330" s="205"/>
      <c r="I330" s="210"/>
      <c r="J330" s="207"/>
      <c r="K330" s="428"/>
      <c r="L330" s="208"/>
      <c r="M330" s="209"/>
    </row>
    <row r="331" spans="2:13">
      <c r="H331" s="198"/>
      <c r="I331" s="198" t="s">
        <v>548</v>
      </c>
      <c r="J331" s="199"/>
      <c r="K331" s="426"/>
      <c r="L331" s="199"/>
      <c r="M331" s="197" t="e">
        <f>SUM(M322:M330)</f>
        <v>#REF!</v>
      </c>
    </row>
    <row r="332" spans="2:13">
      <c r="B332" s="364" t="s">
        <v>814</v>
      </c>
      <c r="C332" s="199"/>
      <c r="D332" s="426"/>
      <c r="E332" s="199"/>
      <c r="F332" s="199"/>
    </row>
    <row r="333" spans="2:13">
      <c r="B333" s="214"/>
      <c r="C333" s="214"/>
      <c r="D333" s="429"/>
      <c r="E333" s="214"/>
      <c r="F333" s="215"/>
      <c r="H333" s="199"/>
      <c r="I333" s="364" t="s">
        <v>811</v>
      </c>
      <c r="J333" s="199"/>
      <c r="K333" s="426"/>
      <c r="L333" s="199"/>
      <c r="M333" s="199"/>
    </row>
    <row r="334" spans="2:13">
      <c r="B334" s="219" t="s">
        <v>593</v>
      </c>
      <c r="C334" s="219">
        <v>1.05</v>
      </c>
      <c r="D334" s="427" t="s">
        <v>25</v>
      </c>
      <c r="E334" s="208" t="e">
        <f>E321</f>
        <v>#REF!</v>
      </c>
      <c r="F334" s="209" t="e">
        <f t="shared" ref="F334:F336" si="98">+C334*E334</f>
        <v>#REF!</v>
      </c>
      <c r="H334" s="213"/>
      <c r="I334" s="214"/>
      <c r="J334" s="214"/>
      <c r="K334" s="429"/>
      <c r="L334" s="214"/>
      <c r="M334" s="215"/>
    </row>
    <row r="335" spans="2:13">
      <c r="B335" s="219" t="s">
        <v>43</v>
      </c>
      <c r="C335" s="219" t="e">
        <f>#REF!</f>
        <v>#REF!</v>
      </c>
      <c r="D335" s="427" t="s">
        <v>13</v>
      </c>
      <c r="E335" s="208" t="e">
        <f t="shared" ref="E335:E336" si="99">E322</f>
        <v>#REF!</v>
      </c>
      <c r="F335" s="209" t="e">
        <f t="shared" si="98"/>
        <v>#REF!</v>
      </c>
      <c r="H335" s="205"/>
      <c r="I335" s="219" t="s">
        <v>593</v>
      </c>
      <c r="J335" s="219">
        <v>1.05</v>
      </c>
      <c r="K335" s="427" t="s">
        <v>25</v>
      </c>
      <c r="L335" s="208" t="e">
        <f>L322</f>
        <v>#REF!</v>
      </c>
      <c r="M335" s="209" t="e">
        <f t="shared" ref="M335:M337" si="100">+J335*L335</f>
        <v>#REF!</v>
      </c>
    </row>
    <row r="336" spans="2:13">
      <c r="B336" s="201" t="s">
        <v>14</v>
      </c>
      <c r="C336" s="219" t="e">
        <f>SUM(C335)*2</f>
        <v>#REF!</v>
      </c>
      <c r="D336" s="427" t="s">
        <v>15</v>
      </c>
      <c r="E336" s="208" t="e">
        <f t="shared" si="99"/>
        <v>#REF!</v>
      </c>
      <c r="F336" s="209" t="e">
        <f t="shared" si="98"/>
        <v>#REF!</v>
      </c>
      <c r="H336" s="205"/>
      <c r="I336" s="219" t="s">
        <v>43</v>
      </c>
      <c r="J336" s="219" t="e">
        <f>#REF!</f>
        <v>#REF!</v>
      </c>
      <c r="K336" s="427" t="s">
        <v>13</v>
      </c>
      <c r="L336" s="208" t="e">
        <f>L323</f>
        <v>#REF!</v>
      </c>
      <c r="M336" s="209" t="e">
        <f t="shared" si="100"/>
        <v>#REF!</v>
      </c>
    </row>
    <row r="337" spans="1:13">
      <c r="B337" s="330" t="s">
        <v>48</v>
      </c>
      <c r="C337" s="325">
        <f>1/(0.15*0.3)</f>
        <v>22.222222222222221</v>
      </c>
      <c r="D337" s="326" t="s">
        <v>36</v>
      </c>
      <c r="E337" s="327">
        <v>165.66</v>
      </c>
      <c r="F337" s="328">
        <f t="shared" ref="F337:F339" si="101">C337*E337</f>
        <v>3681.333333333333</v>
      </c>
      <c r="H337" s="205"/>
      <c r="I337" s="201" t="s">
        <v>14</v>
      </c>
      <c r="J337" s="219" t="e">
        <f>SUM(J336)*2</f>
        <v>#REF!</v>
      </c>
      <c r="K337" s="427" t="s">
        <v>15</v>
      </c>
      <c r="L337" s="208" t="e">
        <f>L324</f>
        <v>#REF!</v>
      </c>
      <c r="M337" s="209" t="e">
        <f t="shared" si="100"/>
        <v>#REF!</v>
      </c>
    </row>
    <row r="338" spans="1:13">
      <c r="B338" s="330" t="s">
        <v>670</v>
      </c>
      <c r="C338" s="325">
        <f>(0.15+0.3)*2*C337</f>
        <v>19.999999999999996</v>
      </c>
      <c r="D338" s="326" t="s">
        <v>39</v>
      </c>
      <c r="E338" s="327">
        <v>28.72</v>
      </c>
      <c r="F338" s="328">
        <f t="shared" si="101"/>
        <v>574.39999999999986</v>
      </c>
      <c r="H338" s="205"/>
      <c r="I338" s="330" t="s">
        <v>125</v>
      </c>
      <c r="J338" s="325">
        <f>1/0.3</f>
        <v>3.3333333333333335</v>
      </c>
      <c r="K338" s="326" t="s">
        <v>11</v>
      </c>
      <c r="L338" s="327">
        <v>425</v>
      </c>
      <c r="M338" s="328">
        <f t="shared" ref="M338:M341" si="102">J338*L338</f>
        <v>1416.6666666666667</v>
      </c>
    </row>
    <row r="339" spans="1:13">
      <c r="B339" s="330" t="s">
        <v>31</v>
      </c>
      <c r="C339" s="325" t="e">
        <f>SUM(C335:C335)</f>
        <v>#REF!</v>
      </c>
      <c r="D339" s="326" t="s">
        <v>0</v>
      </c>
      <c r="E339" s="327" t="e">
        <f>#REF!</f>
        <v>#REF!</v>
      </c>
      <c r="F339" s="328" t="e">
        <f t="shared" si="101"/>
        <v>#REF!</v>
      </c>
      <c r="H339" s="205"/>
      <c r="I339" s="330" t="s">
        <v>31</v>
      </c>
      <c r="J339" s="325" t="e">
        <f>SUM(J336:J336)</f>
        <v>#REF!</v>
      </c>
      <c r="K339" s="326" t="s">
        <v>0</v>
      </c>
      <c r="L339" s="327" t="e">
        <f>#REF!</f>
        <v>#REF!</v>
      </c>
      <c r="M339" s="328" t="e">
        <f t="shared" si="102"/>
        <v>#REF!</v>
      </c>
    </row>
    <row r="340" spans="1:13">
      <c r="B340" s="330" t="s">
        <v>123</v>
      </c>
      <c r="C340" s="325">
        <v>1</v>
      </c>
      <c r="D340" s="326" t="s">
        <v>25</v>
      </c>
      <c r="E340" s="327" t="e">
        <f t="shared" ref="E340:E341" si="103">E327</f>
        <v>#REF!</v>
      </c>
      <c r="F340" s="328"/>
      <c r="H340" s="205"/>
      <c r="I340" s="330" t="s">
        <v>47</v>
      </c>
      <c r="J340" s="325">
        <v>1</v>
      </c>
      <c r="K340" s="326" t="s">
        <v>25</v>
      </c>
      <c r="L340" s="327" t="e">
        <f>L327</f>
        <v>#REF!</v>
      </c>
      <c r="M340" s="328" t="e">
        <f t="shared" si="102"/>
        <v>#REF!</v>
      </c>
    </row>
    <row r="341" spans="1:13">
      <c r="B341" s="330" t="s">
        <v>7</v>
      </c>
      <c r="C341" s="325" t="e">
        <f>SUM(F334:F337)</f>
        <v>#REF!</v>
      </c>
      <c r="D341" s="326" t="s">
        <v>8</v>
      </c>
      <c r="E341" s="327" t="e">
        <f t="shared" si="103"/>
        <v>#REF!</v>
      </c>
      <c r="F341" s="328" t="e">
        <f t="shared" ref="F341" si="104">C341*E341</f>
        <v>#REF!</v>
      </c>
      <c r="H341" s="205"/>
      <c r="I341" s="330" t="s">
        <v>7</v>
      </c>
      <c r="J341" s="325" t="e">
        <f>SUM(M335:M338)</f>
        <v>#REF!</v>
      </c>
      <c r="K341" s="326" t="s">
        <v>8</v>
      </c>
      <c r="L341" s="327">
        <f>L328</f>
        <v>0</v>
      </c>
      <c r="M341" s="328" t="e">
        <f t="shared" si="102"/>
        <v>#REF!</v>
      </c>
    </row>
    <row r="342" spans="1:13">
      <c r="B342" s="210"/>
      <c r="C342" s="207"/>
      <c r="D342" s="428"/>
      <c r="E342" s="208"/>
      <c r="F342" s="209"/>
      <c r="H342" s="205"/>
      <c r="I342" s="201"/>
      <c r="J342" s="219"/>
      <c r="K342" s="427"/>
      <c r="L342" s="208"/>
      <c r="M342" s="209"/>
    </row>
    <row r="343" spans="1:13">
      <c r="B343" s="198" t="s">
        <v>548</v>
      </c>
      <c r="C343" s="199"/>
      <c r="D343" s="426"/>
      <c r="E343" s="199"/>
      <c r="F343" s="197" t="e">
        <f>SUM(F334:F342)</f>
        <v>#REF!</v>
      </c>
      <c r="H343" s="205"/>
      <c r="I343" s="210"/>
      <c r="J343" s="207"/>
      <c r="K343" s="428"/>
      <c r="L343" s="208"/>
      <c r="M343" s="209"/>
    </row>
    <row r="344" spans="1:13">
      <c r="A344" s="212"/>
      <c r="B344" s="212"/>
      <c r="C344" s="212"/>
      <c r="D344" s="432"/>
      <c r="E344" s="212"/>
      <c r="F344" s="212"/>
      <c r="H344" s="198"/>
      <c r="I344" s="198" t="s">
        <v>548</v>
      </c>
      <c r="J344" s="199"/>
      <c r="K344" s="426"/>
      <c r="L344" s="199"/>
      <c r="M344" s="197" t="e">
        <f>SUM(M335:M343)</f>
        <v>#REF!</v>
      </c>
    </row>
    <row r="345" spans="1:13">
      <c r="A345" s="212"/>
      <c r="B345" s="212"/>
      <c r="C345" s="212"/>
      <c r="D345" s="432"/>
      <c r="E345" s="212"/>
      <c r="F345" s="212"/>
      <c r="H345" s="212"/>
      <c r="I345" s="212"/>
      <c r="J345" s="212"/>
      <c r="K345" s="432"/>
      <c r="L345" s="212"/>
      <c r="M345" s="212"/>
    </row>
    <row r="346" spans="1:13">
      <c r="A346" s="199"/>
      <c r="B346" s="364" t="s">
        <v>756</v>
      </c>
      <c r="C346" s="199"/>
      <c r="D346" s="426"/>
      <c r="E346" s="199"/>
      <c r="F346" s="199"/>
    </row>
    <row r="347" spans="1:13">
      <c r="A347" s="213"/>
      <c r="B347" s="214"/>
      <c r="C347" s="214"/>
      <c r="D347" s="429"/>
      <c r="E347" s="214"/>
      <c r="F347" s="215"/>
      <c r="H347" s="199"/>
      <c r="I347" s="364" t="s">
        <v>816</v>
      </c>
      <c r="J347" s="199"/>
      <c r="K347" s="426"/>
      <c r="L347" s="199"/>
      <c r="M347" s="199"/>
    </row>
    <row r="348" spans="1:13">
      <c r="A348" s="205"/>
      <c r="B348" s="219" t="s">
        <v>593</v>
      </c>
      <c r="C348" s="219">
        <v>1.05</v>
      </c>
      <c r="D348" s="427" t="s">
        <v>25</v>
      </c>
      <c r="E348" s="208" t="e">
        <f>+E295</f>
        <v>#REF!</v>
      </c>
      <c r="F348" s="209" t="e">
        <f t="shared" ref="F348:F350" si="105">+C348*E348</f>
        <v>#REF!</v>
      </c>
      <c r="H348" s="213"/>
      <c r="I348" s="214"/>
      <c r="J348" s="214"/>
      <c r="K348" s="429"/>
      <c r="L348" s="214"/>
      <c r="M348" s="215"/>
    </row>
    <row r="349" spans="1:13">
      <c r="A349" s="205"/>
      <c r="B349" s="219" t="s">
        <v>43</v>
      </c>
      <c r="C349" s="219" t="e">
        <f>+#REF!</f>
        <v>#REF!</v>
      </c>
      <c r="D349" s="427" t="s">
        <v>13</v>
      </c>
      <c r="E349" s="216" t="e">
        <f>+E296</f>
        <v>#REF!</v>
      </c>
      <c r="F349" s="209" t="e">
        <f t="shared" si="105"/>
        <v>#REF!</v>
      </c>
      <c r="H349" s="205"/>
      <c r="I349" s="219" t="s">
        <v>593</v>
      </c>
      <c r="J349" s="219">
        <v>1.05</v>
      </c>
      <c r="K349" s="427" t="s">
        <v>25</v>
      </c>
      <c r="L349" s="208" t="e">
        <f>+L308</f>
        <v>#REF!</v>
      </c>
      <c r="M349" s="209" t="e">
        <f t="shared" ref="M349:M351" si="106">+J349*L349</f>
        <v>#REF!</v>
      </c>
    </row>
    <row r="350" spans="1:13">
      <c r="A350" s="205"/>
      <c r="B350" s="201" t="s">
        <v>800</v>
      </c>
      <c r="C350" s="219" t="e">
        <f>SUM(C349)*2</f>
        <v>#REF!</v>
      </c>
      <c r="D350" s="427" t="s">
        <v>15</v>
      </c>
      <c r="E350" s="208" t="e">
        <f>E297</f>
        <v>#REF!</v>
      </c>
      <c r="F350" s="209" t="e">
        <f t="shared" si="105"/>
        <v>#REF!</v>
      </c>
      <c r="H350" s="205"/>
      <c r="I350" s="219" t="s">
        <v>43</v>
      </c>
      <c r="J350" s="219" t="e">
        <f>#REF!</f>
        <v>#REF!</v>
      </c>
      <c r="K350" s="427" t="s">
        <v>13</v>
      </c>
      <c r="L350" s="216" t="e">
        <f>+L309</f>
        <v>#REF!</v>
      </c>
      <c r="M350" s="209" t="e">
        <f t="shared" si="106"/>
        <v>#REF!</v>
      </c>
    </row>
    <row r="351" spans="1:13">
      <c r="A351" s="205"/>
      <c r="B351" s="330" t="s">
        <v>801</v>
      </c>
      <c r="C351" s="325">
        <f>1/(0.4*0.4)</f>
        <v>6.2499999999999991</v>
      </c>
      <c r="D351" s="326" t="s">
        <v>36</v>
      </c>
      <c r="E351" s="327">
        <v>165.66</v>
      </c>
      <c r="F351" s="328">
        <f t="shared" ref="F351:F353" si="107">C351*E351</f>
        <v>1035.3749999999998</v>
      </c>
      <c r="H351" s="205"/>
      <c r="I351" s="201" t="s">
        <v>14</v>
      </c>
      <c r="J351" s="219" t="e">
        <f>SUM(J350)*2</f>
        <v>#REF!</v>
      </c>
      <c r="K351" s="427" t="s">
        <v>15</v>
      </c>
      <c r="L351" s="208" t="e">
        <f>L310</f>
        <v>#REF!</v>
      </c>
      <c r="M351" s="209" t="e">
        <f t="shared" si="106"/>
        <v>#REF!</v>
      </c>
    </row>
    <row r="352" spans="1:13">
      <c r="A352" s="205"/>
      <c r="B352" s="330" t="s">
        <v>670</v>
      </c>
      <c r="C352" s="325">
        <f>(0.4+0.4)*2*C351</f>
        <v>10</v>
      </c>
      <c r="D352" s="326" t="s">
        <v>39</v>
      </c>
      <c r="E352" s="327">
        <v>28.72</v>
      </c>
      <c r="F352" s="328">
        <f t="shared" si="107"/>
        <v>287.2</v>
      </c>
      <c r="H352" s="205"/>
      <c r="I352" s="330" t="s">
        <v>801</v>
      </c>
      <c r="J352" s="325">
        <f>1/(0.4*0.4)</f>
        <v>6.2499999999999991</v>
      </c>
      <c r="K352" s="326" t="s">
        <v>36</v>
      </c>
      <c r="L352" s="327">
        <v>165.66</v>
      </c>
      <c r="M352" s="328">
        <f t="shared" ref="M352:M354" si="108">J352*L352</f>
        <v>1035.3749999999998</v>
      </c>
    </row>
    <row r="353" spans="1:13">
      <c r="A353" s="205"/>
      <c r="B353" s="330" t="s">
        <v>31</v>
      </c>
      <c r="C353" s="325" t="e">
        <f>SUM(C349:C349)</f>
        <v>#REF!</v>
      </c>
      <c r="D353" s="326" t="s">
        <v>0</v>
      </c>
      <c r="E353" s="327" t="e">
        <f>E300</f>
        <v>#REF!</v>
      </c>
      <c r="F353" s="328" t="e">
        <f t="shared" si="107"/>
        <v>#REF!</v>
      </c>
      <c r="H353" s="205"/>
      <c r="I353" s="330" t="s">
        <v>670</v>
      </c>
      <c r="J353" s="325">
        <f>(0.4+0.4)*2*J352</f>
        <v>10</v>
      </c>
      <c r="K353" s="326" t="s">
        <v>39</v>
      </c>
      <c r="L353" s="327">
        <v>28.72</v>
      </c>
      <c r="M353" s="328">
        <f t="shared" si="108"/>
        <v>287.2</v>
      </c>
    </row>
    <row r="354" spans="1:13">
      <c r="A354" s="205"/>
      <c r="B354" s="330" t="s">
        <v>123</v>
      </c>
      <c r="C354" s="325">
        <v>1</v>
      </c>
      <c r="D354" s="326" t="s">
        <v>25</v>
      </c>
      <c r="E354" s="327" t="e">
        <f>E301</f>
        <v>#REF!</v>
      </c>
      <c r="F354" s="328"/>
      <c r="H354" s="205"/>
      <c r="I354" s="330" t="s">
        <v>31</v>
      </c>
      <c r="J354" s="325" t="e">
        <f>SUM(J350:J350)</f>
        <v>#REF!</v>
      </c>
      <c r="K354" s="326" t="s">
        <v>0</v>
      </c>
      <c r="L354" s="327" t="e">
        <f>#REF!</f>
        <v>#REF!</v>
      </c>
      <c r="M354" s="328" t="e">
        <f t="shared" si="108"/>
        <v>#REF!</v>
      </c>
    </row>
    <row r="355" spans="1:13">
      <c r="A355" s="205"/>
      <c r="B355" s="330" t="s">
        <v>7</v>
      </c>
      <c r="C355" s="325" t="e">
        <f>SUM(F348:F351)</f>
        <v>#REF!</v>
      </c>
      <c r="D355" s="326" t="s">
        <v>8</v>
      </c>
      <c r="E355" s="327" t="e">
        <f>E302</f>
        <v>#REF!</v>
      </c>
      <c r="F355" s="328" t="e">
        <f t="shared" ref="F355" si="109">C355*E355</f>
        <v>#REF!</v>
      </c>
      <c r="H355" s="205"/>
      <c r="I355" s="330" t="s">
        <v>123</v>
      </c>
      <c r="J355" s="325">
        <v>1</v>
      </c>
      <c r="K355" s="326" t="s">
        <v>25</v>
      </c>
      <c r="L355" s="327" t="e">
        <f>L313</f>
        <v>#REF!</v>
      </c>
      <c r="M355" s="328"/>
    </row>
    <row r="356" spans="1:13">
      <c r="A356" s="205"/>
      <c r="B356" s="210"/>
      <c r="C356" s="207"/>
      <c r="D356" s="428"/>
      <c r="E356" s="208"/>
      <c r="F356" s="209"/>
      <c r="H356" s="205"/>
      <c r="I356" s="330" t="s">
        <v>7</v>
      </c>
      <c r="J356" s="325" t="e">
        <f>SUM(M349:M352)</f>
        <v>#REF!</v>
      </c>
      <c r="K356" s="326" t="s">
        <v>8</v>
      </c>
      <c r="L356" s="327" t="e">
        <f>L314</f>
        <v>#REF!</v>
      </c>
      <c r="M356" s="328" t="e">
        <f t="shared" ref="M356" si="110">J356*L356</f>
        <v>#REF!</v>
      </c>
    </row>
    <row r="357" spans="1:13">
      <c r="A357" s="198"/>
      <c r="B357" s="198" t="s">
        <v>548</v>
      </c>
      <c r="C357" s="199"/>
      <c r="D357" s="426"/>
      <c r="E357" s="199"/>
      <c r="F357" s="197" t="e">
        <f>SUM(F348:F356)</f>
        <v>#REF!</v>
      </c>
      <c r="H357" s="205"/>
      <c r="I357" s="210"/>
      <c r="J357" s="207"/>
      <c r="K357" s="428"/>
      <c r="L357" s="208"/>
      <c r="M357" s="209"/>
    </row>
    <row r="358" spans="1:13">
      <c r="A358" s="212"/>
      <c r="B358" s="212"/>
      <c r="C358" s="212"/>
      <c r="D358" s="432"/>
      <c r="E358" s="212"/>
      <c r="F358" s="212"/>
      <c r="H358" s="198"/>
      <c r="I358" s="198" t="s">
        <v>548</v>
      </c>
      <c r="J358" s="199"/>
      <c r="K358" s="426"/>
      <c r="L358" s="199"/>
      <c r="M358" s="197" t="e">
        <f>SUM(M349:M357)</f>
        <v>#REF!</v>
      </c>
    </row>
    <row r="359" spans="1:13">
      <c r="A359" s="199"/>
      <c r="B359" s="364" t="s">
        <v>815</v>
      </c>
      <c r="C359" s="199"/>
      <c r="D359" s="426"/>
      <c r="E359" s="199"/>
      <c r="F359" s="199"/>
    </row>
    <row r="360" spans="1:13">
      <c r="A360" s="213"/>
      <c r="B360" s="214"/>
      <c r="C360" s="214"/>
      <c r="D360" s="429"/>
      <c r="E360" s="214"/>
      <c r="F360" s="215"/>
    </row>
    <row r="361" spans="1:13">
      <c r="A361" s="205"/>
      <c r="B361" s="219" t="s">
        <v>593</v>
      </c>
      <c r="C361" s="219">
        <v>1.05</v>
      </c>
      <c r="D361" s="427" t="s">
        <v>25</v>
      </c>
      <c r="E361" s="208" t="e">
        <f>E348</f>
        <v>#REF!</v>
      </c>
      <c r="F361" s="209" t="e">
        <f t="shared" ref="F361:F363" si="111">+C361*E361</f>
        <v>#REF!</v>
      </c>
      <c r="H361" s="199"/>
      <c r="I361" s="364" t="s">
        <v>818</v>
      </c>
      <c r="J361" s="199"/>
      <c r="K361" s="426"/>
      <c r="L361" s="199"/>
      <c r="M361" s="199"/>
    </row>
    <row r="362" spans="1:13">
      <c r="A362" s="205"/>
      <c r="B362" s="219" t="s">
        <v>43</v>
      </c>
      <c r="C362" s="219" t="e">
        <f>#REF!</f>
        <v>#REF!</v>
      </c>
      <c r="D362" s="427" t="s">
        <v>13</v>
      </c>
      <c r="E362" s="208" t="e">
        <f t="shared" ref="E362:E363" si="112">E349</f>
        <v>#REF!</v>
      </c>
      <c r="F362" s="209" t="e">
        <f t="shared" si="111"/>
        <v>#REF!</v>
      </c>
      <c r="H362" s="213"/>
      <c r="I362" s="214"/>
      <c r="J362" s="214"/>
      <c r="K362" s="429"/>
      <c r="L362" s="214"/>
      <c r="M362" s="215"/>
    </row>
    <row r="363" spans="1:13">
      <c r="A363" s="205"/>
      <c r="B363" s="201" t="s">
        <v>14</v>
      </c>
      <c r="C363" s="219" t="e">
        <f>SUM(C362)*2</f>
        <v>#REF!</v>
      </c>
      <c r="D363" s="427" t="s">
        <v>15</v>
      </c>
      <c r="E363" s="208" t="e">
        <f t="shared" si="112"/>
        <v>#REF!</v>
      </c>
      <c r="F363" s="209" t="e">
        <f t="shared" si="111"/>
        <v>#REF!</v>
      </c>
      <c r="H363" s="205"/>
      <c r="I363" s="219" t="s">
        <v>593</v>
      </c>
      <c r="J363" s="219">
        <v>1.05</v>
      </c>
      <c r="K363" s="427" t="s">
        <v>25</v>
      </c>
      <c r="L363" s="208" t="e">
        <f>L349</f>
        <v>#REF!</v>
      </c>
      <c r="M363" s="209" t="e">
        <f t="shared" ref="M363:M365" si="113">+J363*L363</f>
        <v>#REF!</v>
      </c>
    </row>
    <row r="364" spans="1:13">
      <c r="A364" s="205"/>
      <c r="B364" s="330" t="s">
        <v>801</v>
      </c>
      <c r="C364" s="325">
        <f>1/(0.4*0.4)</f>
        <v>6.2499999999999991</v>
      </c>
      <c r="D364" s="326" t="s">
        <v>36</v>
      </c>
      <c r="E364" s="327">
        <v>165.66</v>
      </c>
      <c r="F364" s="328">
        <f t="shared" ref="F364:F366" si="114">C364*E364</f>
        <v>1035.3749999999998</v>
      </c>
      <c r="H364" s="205"/>
      <c r="I364" s="219" t="s">
        <v>43</v>
      </c>
      <c r="J364" s="219" t="e">
        <f>#REF!</f>
        <v>#REF!</v>
      </c>
      <c r="K364" s="427" t="s">
        <v>13</v>
      </c>
      <c r="L364" s="216" t="e">
        <f>L350</f>
        <v>#REF!</v>
      </c>
      <c r="M364" s="209" t="e">
        <f t="shared" si="113"/>
        <v>#REF!</v>
      </c>
    </row>
    <row r="365" spans="1:13">
      <c r="A365" s="205"/>
      <c r="B365" s="330" t="s">
        <v>670</v>
      </c>
      <c r="C365" s="325">
        <f>(0.4+0.4)*2*C364</f>
        <v>10</v>
      </c>
      <c r="D365" s="326" t="s">
        <v>39</v>
      </c>
      <c r="E365" s="327">
        <v>28.72</v>
      </c>
      <c r="F365" s="328">
        <f t="shared" si="114"/>
        <v>287.2</v>
      </c>
      <c r="H365" s="205"/>
      <c r="I365" s="201" t="s">
        <v>14</v>
      </c>
      <c r="J365" s="219" t="e">
        <f>SUM(J364)*2</f>
        <v>#REF!</v>
      </c>
      <c r="K365" s="427" t="s">
        <v>15</v>
      </c>
      <c r="L365" s="208" t="e">
        <f>L351</f>
        <v>#REF!</v>
      </c>
      <c r="M365" s="209" t="e">
        <f t="shared" si="113"/>
        <v>#REF!</v>
      </c>
    </row>
    <row r="366" spans="1:13">
      <c r="A366" s="205"/>
      <c r="B366" s="330" t="s">
        <v>31</v>
      </c>
      <c r="C366" s="325" t="e">
        <f>SUM(C362:C362)</f>
        <v>#REF!</v>
      </c>
      <c r="D366" s="326" t="s">
        <v>0</v>
      </c>
      <c r="E366" s="327" t="e">
        <f>#REF!</f>
        <v>#REF!</v>
      </c>
      <c r="F366" s="328" t="e">
        <f t="shared" si="114"/>
        <v>#REF!</v>
      </c>
      <c r="H366" s="205"/>
      <c r="I366" s="330" t="s">
        <v>801</v>
      </c>
      <c r="J366" s="325">
        <f>1/(0.4*0.4)</f>
        <v>6.2499999999999991</v>
      </c>
      <c r="K366" s="326" t="s">
        <v>36</v>
      </c>
      <c r="L366" s="327">
        <v>165.66</v>
      </c>
      <c r="M366" s="328">
        <f t="shared" ref="M366:M368" si="115">J366*L366</f>
        <v>1035.3749999999998</v>
      </c>
    </row>
    <row r="367" spans="1:13">
      <c r="A367" s="205"/>
      <c r="B367" s="330" t="s">
        <v>123</v>
      </c>
      <c r="C367" s="325">
        <v>1</v>
      </c>
      <c r="D367" s="326" t="s">
        <v>25</v>
      </c>
      <c r="E367" s="327" t="e">
        <f>E354</f>
        <v>#REF!</v>
      </c>
      <c r="F367" s="328"/>
      <c r="H367" s="205"/>
      <c r="I367" s="330" t="s">
        <v>670</v>
      </c>
      <c r="J367" s="325">
        <f>(0.4+0.4)*2*J366</f>
        <v>10</v>
      </c>
      <c r="K367" s="326" t="s">
        <v>39</v>
      </c>
      <c r="L367" s="327">
        <v>28.72</v>
      </c>
      <c r="M367" s="328">
        <f t="shared" si="115"/>
        <v>287.2</v>
      </c>
    </row>
    <row r="368" spans="1:13">
      <c r="A368" s="205"/>
      <c r="B368" s="330" t="s">
        <v>7</v>
      </c>
      <c r="C368" s="325" t="e">
        <f>SUM(F361:F364)</f>
        <v>#REF!</v>
      </c>
      <c r="D368" s="326" t="s">
        <v>8</v>
      </c>
      <c r="E368" s="327" t="e">
        <f>E355</f>
        <v>#REF!</v>
      </c>
      <c r="F368" s="328" t="e">
        <f t="shared" ref="F368" si="116">C368*E368</f>
        <v>#REF!</v>
      </c>
      <c r="H368" s="205"/>
      <c r="I368" s="330" t="s">
        <v>31</v>
      </c>
      <c r="J368" s="325" t="e">
        <f>SUM(J364:J364)</f>
        <v>#REF!</v>
      </c>
      <c r="K368" s="326" t="s">
        <v>0</v>
      </c>
      <c r="L368" s="327" t="e">
        <f>#REF!</f>
        <v>#REF!</v>
      </c>
      <c r="M368" s="328" t="e">
        <f t="shared" si="115"/>
        <v>#REF!</v>
      </c>
    </row>
    <row r="369" spans="1:13">
      <c r="A369" s="205"/>
      <c r="B369" s="210"/>
      <c r="C369" s="207"/>
      <c r="D369" s="428"/>
      <c r="E369" s="208"/>
      <c r="F369" s="209"/>
      <c r="H369" s="205"/>
      <c r="I369" s="330" t="s">
        <v>123</v>
      </c>
      <c r="J369" s="325">
        <v>1</v>
      </c>
      <c r="K369" s="326" t="s">
        <v>25</v>
      </c>
      <c r="L369" s="327" t="e">
        <f>L355</f>
        <v>#REF!</v>
      </c>
      <c r="M369" s="328"/>
    </row>
    <row r="370" spans="1:13">
      <c r="A370" s="198"/>
      <c r="B370" s="198" t="s">
        <v>548</v>
      </c>
      <c r="C370" s="199"/>
      <c r="D370" s="426"/>
      <c r="E370" s="199"/>
      <c r="F370" s="197" t="e">
        <f>SUM(F361:F369)</f>
        <v>#REF!</v>
      </c>
      <c r="H370" s="205"/>
      <c r="I370" s="330" t="s">
        <v>7</v>
      </c>
      <c r="J370" s="325" t="e">
        <f>SUM(M363:M366)</f>
        <v>#REF!</v>
      </c>
      <c r="K370" s="326" t="s">
        <v>8</v>
      </c>
      <c r="L370" s="327" t="e">
        <f>L356</f>
        <v>#REF!</v>
      </c>
      <c r="M370" s="328" t="e">
        <f t="shared" ref="M370" si="117">J370*L370</f>
        <v>#REF!</v>
      </c>
    </row>
    <row r="371" spans="1:13">
      <c r="H371" s="205"/>
      <c r="I371" s="210"/>
      <c r="J371" s="207"/>
      <c r="K371" s="428"/>
      <c r="L371" s="208"/>
      <c r="M371" s="209"/>
    </row>
    <row r="372" spans="1:13">
      <c r="H372" s="198"/>
      <c r="I372" s="198" t="s">
        <v>548</v>
      </c>
      <c r="J372" s="199"/>
      <c r="K372" s="426"/>
      <c r="L372" s="199"/>
      <c r="M372" s="197" t="e">
        <f>SUM(M363:M371)</f>
        <v>#REF!</v>
      </c>
    </row>
    <row r="375" spans="1:13">
      <c r="H375" s="199"/>
      <c r="I375" s="364" t="s">
        <v>817</v>
      </c>
      <c r="J375" s="199"/>
      <c r="K375" s="426"/>
      <c r="L375" s="199"/>
      <c r="M375" s="199"/>
    </row>
    <row r="376" spans="1:13">
      <c r="H376" s="213"/>
      <c r="I376" s="214"/>
      <c r="J376" s="214"/>
      <c r="K376" s="429"/>
      <c r="L376" s="214"/>
      <c r="M376" s="215"/>
    </row>
    <row r="377" spans="1:13">
      <c r="H377" s="205"/>
      <c r="I377" s="219" t="s">
        <v>593</v>
      </c>
      <c r="J377" s="219">
        <v>1.05</v>
      </c>
      <c r="K377" s="427" t="s">
        <v>25</v>
      </c>
      <c r="L377" s="208" t="e">
        <f>L363</f>
        <v>#REF!</v>
      </c>
      <c r="M377" s="209" t="e">
        <f t="shared" ref="M377:M379" si="118">+J377*L377</f>
        <v>#REF!</v>
      </c>
    </row>
    <row r="378" spans="1:13">
      <c r="H378" s="205"/>
      <c r="I378" s="219" t="s">
        <v>43</v>
      </c>
      <c r="J378" s="219" t="e">
        <f>#REF!</f>
        <v>#REF!</v>
      </c>
      <c r="K378" s="427" t="s">
        <v>13</v>
      </c>
      <c r="L378" s="216" t="e">
        <f>L364</f>
        <v>#REF!</v>
      </c>
      <c r="M378" s="209" t="e">
        <f t="shared" si="118"/>
        <v>#REF!</v>
      </c>
    </row>
    <row r="379" spans="1:13">
      <c r="H379" s="205"/>
      <c r="I379" s="201" t="s">
        <v>14</v>
      </c>
      <c r="J379" s="219" t="e">
        <f>SUM(J378)*2</f>
        <v>#REF!</v>
      </c>
      <c r="K379" s="427" t="s">
        <v>15</v>
      </c>
      <c r="L379" s="208" t="e">
        <f>L365</f>
        <v>#REF!</v>
      </c>
      <c r="M379" s="209" t="e">
        <f t="shared" si="118"/>
        <v>#REF!</v>
      </c>
    </row>
    <row r="380" spans="1:13">
      <c r="H380" s="205"/>
      <c r="I380" s="330" t="s">
        <v>801</v>
      </c>
      <c r="J380" s="325">
        <f>1/(0.4*0.4)</f>
        <v>6.2499999999999991</v>
      </c>
      <c r="K380" s="326" t="s">
        <v>36</v>
      </c>
      <c r="L380" s="327">
        <v>165.66</v>
      </c>
      <c r="M380" s="328">
        <f t="shared" ref="M380:M382" si="119">J380*L380</f>
        <v>1035.3749999999998</v>
      </c>
    </row>
    <row r="381" spans="1:13">
      <c r="H381" s="205"/>
      <c r="I381" s="330" t="s">
        <v>670</v>
      </c>
      <c r="J381" s="325">
        <f>(0.4+0.4)*2*J380</f>
        <v>10</v>
      </c>
      <c r="K381" s="326" t="s">
        <v>39</v>
      </c>
      <c r="L381" s="327">
        <v>28.72</v>
      </c>
      <c r="M381" s="328">
        <f t="shared" si="119"/>
        <v>287.2</v>
      </c>
    </row>
    <row r="382" spans="1:13">
      <c r="H382" s="205"/>
      <c r="I382" s="330" t="s">
        <v>31</v>
      </c>
      <c r="J382" s="325" t="e">
        <f>SUM(J378:J378)</f>
        <v>#REF!</v>
      </c>
      <c r="K382" s="326" t="s">
        <v>0</v>
      </c>
      <c r="L382" s="327" t="e">
        <f>#REF!</f>
        <v>#REF!</v>
      </c>
      <c r="M382" s="328" t="e">
        <f t="shared" si="119"/>
        <v>#REF!</v>
      </c>
    </row>
    <row r="383" spans="1:13">
      <c r="H383" s="205"/>
      <c r="I383" s="330" t="s">
        <v>123</v>
      </c>
      <c r="J383" s="325">
        <v>1</v>
      </c>
      <c r="K383" s="326" t="s">
        <v>25</v>
      </c>
      <c r="L383" s="327" t="e">
        <f>L369</f>
        <v>#REF!</v>
      </c>
      <c r="M383" s="328"/>
    </row>
    <row r="384" spans="1:13">
      <c r="H384" s="205"/>
      <c r="I384" s="330" t="s">
        <v>7</v>
      </c>
      <c r="J384" s="325" t="e">
        <f>SUM(M377:M380)</f>
        <v>#REF!</v>
      </c>
      <c r="K384" s="326" t="s">
        <v>8</v>
      </c>
      <c r="L384" s="327" t="e">
        <f>L370</f>
        <v>#REF!</v>
      </c>
      <c r="M384" s="328" t="e">
        <f t="shared" ref="M384" si="120">J384*L384</f>
        <v>#REF!</v>
      </c>
    </row>
    <row r="385" spans="1:13">
      <c r="H385" s="205"/>
      <c r="I385" s="210"/>
      <c r="J385" s="207"/>
      <c r="K385" s="428"/>
      <c r="L385" s="208"/>
      <c r="M385" s="209"/>
    </row>
    <row r="386" spans="1:13">
      <c r="H386" s="198"/>
      <c r="I386" s="198" t="s">
        <v>548</v>
      </c>
      <c r="J386" s="199"/>
      <c r="K386" s="426"/>
      <c r="L386" s="199"/>
      <c r="M386" s="197" t="e">
        <f>SUM(M377:M385)</f>
        <v>#REF!</v>
      </c>
    </row>
    <row r="388" spans="1:13">
      <c r="A388" s="199"/>
      <c r="B388" s="364" t="s">
        <v>753</v>
      </c>
      <c r="C388" s="199"/>
      <c r="D388" s="426"/>
      <c r="E388" s="199"/>
      <c r="F388" s="199"/>
      <c r="H388" s="199"/>
      <c r="I388" s="364" t="s">
        <v>879</v>
      </c>
      <c r="J388" s="199"/>
      <c r="K388" s="426"/>
      <c r="L388" s="199"/>
      <c r="M388" s="199"/>
    </row>
    <row r="389" spans="1:13">
      <c r="A389" s="213"/>
      <c r="B389" s="214"/>
      <c r="C389" s="214"/>
      <c r="D389" s="429"/>
      <c r="E389" s="214"/>
      <c r="F389" s="215"/>
      <c r="H389" s="213"/>
      <c r="I389" s="214"/>
      <c r="J389" s="214"/>
      <c r="K389" s="429"/>
      <c r="L389" s="214"/>
      <c r="M389" s="215"/>
    </row>
    <row r="390" spans="1:13">
      <c r="A390" s="205"/>
      <c r="B390" s="219" t="s">
        <v>593</v>
      </c>
      <c r="C390" s="219">
        <v>1.05</v>
      </c>
      <c r="D390" s="427" t="s">
        <v>25</v>
      </c>
      <c r="E390" s="208" t="e">
        <f>#REF!</f>
        <v>#REF!</v>
      </c>
      <c r="F390" s="209" t="e">
        <f t="shared" ref="F390:F392" si="121">+C390*E390</f>
        <v>#REF!</v>
      </c>
      <c r="H390" s="205"/>
      <c r="I390" s="219" t="s">
        <v>593</v>
      </c>
      <c r="J390" s="219">
        <v>1.05</v>
      </c>
      <c r="K390" s="427" t="s">
        <v>25</v>
      </c>
      <c r="L390" s="208" t="e">
        <f>E390</f>
        <v>#REF!</v>
      </c>
      <c r="M390" s="209" t="e">
        <f t="shared" ref="M390:M392" si="122">+J390*L390</f>
        <v>#REF!</v>
      </c>
    </row>
    <row r="391" spans="1:13">
      <c r="A391" s="205"/>
      <c r="B391" s="219" t="s">
        <v>43</v>
      </c>
      <c r="C391" s="219" t="e">
        <f>+#REF!</f>
        <v>#REF!</v>
      </c>
      <c r="D391" s="427" t="s">
        <v>13</v>
      </c>
      <c r="E391" s="208" t="e">
        <f>#REF!</f>
        <v>#REF!</v>
      </c>
      <c r="F391" s="209" t="e">
        <f t="shared" si="121"/>
        <v>#REF!</v>
      </c>
      <c r="H391" s="205"/>
      <c r="I391" s="219" t="s">
        <v>43</v>
      </c>
      <c r="J391" s="219" t="e">
        <f>+#REF!</f>
        <v>#REF!</v>
      </c>
      <c r="K391" s="427" t="s">
        <v>13</v>
      </c>
      <c r="L391" s="208" t="e">
        <f t="shared" ref="L391:L392" si="123">E391</f>
        <v>#REF!</v>
      </c>
      <c r="M391" s="209" t="e">
        <f t="shared" si="122"/>
        <v>#REF!</v>
      </c>
    </row>
    <row r="392" spans="1:13">
      <c r="A392" s="205"/>
      <c r="B392" s="201" t="s">
        <v>14</v>
      </c>
      <c r="C392" s="219" t="e">
        <f>SUM(C391)*2</f>
        <v>#REF!</v>
      </c>
      <c r="D392" s="427" t="s">
        <v>15</v>
      </c>
      <c r="E392" s="208" t="e">
        <f>#REF!</f>
        <v>#REF!</v>
      </c>
      <c r="F392" s="209" t="e">
        <f t="shared" si="121"/>
        <v>#REF!</v>
      </c>
      <c r="H392" s="205"/>
      <c r="I392" s="201" t="s">
        <v>14</v>
      </c>
      <c r="J392" s="219" t="e">
        <f>SUM(J391)*2</f>
        <v>#REF!</v>
      </c>
      <c r="K392" s="427" t="s">
        <v>15</v>
      </c>
      <c r="L392" s="208" t="e">
        <f t="shared" si="123"/>
        <v>#REF!</v>
      </c>
      <c r="M392" s="209" t="e">
        <f t="shared" si="122"/>
        <v>#REF!</v>
      </c>
    </row>
    <row r="393" spans="1:13">
      <c r="A393" s="205"/>
      <c r="B393" s="160" t="s">
        <v>31</v>
      </c>
      <c r="C393" s="170" t="e">
        <f>SUM(C391:C391)</f>
        <v>#REF!</v>
      </c>
      <c r="D393" s="159" t="s">
        <v>13</v>
      </c>
      <c r="E393" s="161" t="e">
        <f>#REF!</f>
        <v>#REF!</v>
      </c>
      <c r="F393" s="158" t="e">
        <f t="shared" ref="F393:F396" si="124">C393*E393</f>
        <v>#REF!</v>
      </c>
      <c r="H393" s="205"/>
      <c r="I393" s="160" t="s">
        <v>31</v>
      </c>
      <c r="J393" s="170" t="e">
        <f>SUM(J391:J391)</f>
        <v>#REF!</v>
      </c>
      <c r="K393" s="159" t="s">
        <v>13</v>
      </c>
      <c r="L393" s="161" t="e">
        <f>#REF!</f>
        <v>#REF!</v>
      </c>
      <c r="M393" s="158" t="e">
        <f t="shared" ref="M393:M396" si="125">J393*L393</f>
        <v>#REF!</v>
      </c>
    </row>
    <row r="394" spans="1:13">
      <c r="A394" s="205"/>
      <c r="B394" s="160" t="s">
        <v>875</v>
      </c>
      <c r="C394" s="170">
        <f>1/(0.35*0.2)</f>
        <v>14.285714285714286</v>
      </c>
      <c r="D394" s="159" t="s">
        <v>36</v>
      </c>
      <c r="E394" s="161" t="e">
        <f>#REF!</f>
        <v>#REF!</v>
      </c>
      <c r="F394" s="158" t="e">
        <f t="shared" si="124"/>
        <v>#REF!</v>
      </c>
      <c r="H394" s="205"/>
      <c r="I394" s="160" t="s">
        <v>878</v>
      </c>
      <c r="J394" s="170">
        <f>1/(0.3*0.2)</f>
        <v>16.666666666666668</v>
      </c>
      <c r="K394" s="159" t="s">
        <v>36</v>
      </c>
      <c r="L394" s="161" t="e">
        <f>E394</f>
        <v>#REF!</v>
      </c>
      <c r="M394" s="158" t="e">
        <f t="shared" si="125"/>
        <v>#REF!</v>
      </c>
    </row>
    <row r="395" spans="1:13">
      <c r="A395" s="205"/>
      <c r="B395" s="160" t="s">
        <v>47</v>
      </c>
      <c r="C395" s="170">
        <v>1</v>
      </c>
      <c r="D395" s="159" t="s">
        <v>25</v>
      </c>
      <c r="E395" s="161" t="e">
        <f>#REF!</f>
        <v>#REF!</v>
      </c>
      <c r="F395" s="158" t="e">
        <f t="shared" si="124"/>
        <v>#REF!</v>
      </c>
      <c r="H395" s="205"/>
      <c r="I395" s="160" t="s">
        <v>47</v>
      </c>
      <c r="J395" s="170">
        <v>1</v>
      </c>
      <c r="K395" s="159" t="s">
        <v>25</v>
      </c>
      <c r="L395" s="161" t="e">
        <f t="shared" ref="L395:L396" si="126">E395</f>
        <v>#REF!</v>
      </c>
      <c r="M395" s="158" t="e">
        <f t="shared" si="125"/>
        <v>#REF!</v>
      </c>
    </row>
    <row r="396" spans="1:13">
      <c r="A396" s="205"/>
      <c r="B396" s="160" t="s">
        <v>7</v>
      </c>
      <c r="C396" s="170" t="e">
        <f>SUM(F390:F392)</f>
        <v>#REF!</v>
      </c>
      <c r="D396" s="159" t="s">
        <v>8</v>
      </c>
      <c r="E396" s="161" t="e">
        <f>#REF!</f>
        <v>#REF!</v>
      </c>
      <c r="F396" s="158" t="e">
        <f t="shared" si="124"/>
        <v>#REF!</v>
      </c>
      <c r="H396" s="205"/>
      <c r="I396" s="160" t="s">
        <v>7</v>
      </c>
      <c r="J396" s="170" t="e">
        <f>SUM(M390:M392)</f>
        <v>#REF!</v>
      </c>
      <c r="K396" s="159" t="s">
        <v>8</v>
      </c>
      <c r="L396" s="161" t="e">
        <f t="shared" si="126"/>
        <v>#REF!</v>
      </c>
      <c r="M396" s="158" t="e">
        <f t="shared" si="125"/>
        <v>#REF!</v>
      </c>
    </row>
    <row r="397" spans="1:13">
      <c r="A397" s="205"/>
      <c r="B397" s="201"/>
      <c r="C397" s="219"/>
      <c r="D397" s="427"/>
      <c r="E397" s="208"/>
      <c r="F397" s="209"/>
      <c r="H397" s="205"/>
      <c r="I397" s="201"/>
      <c r="J397" s="219"/>
      <c r="K397" s="427"/>
      <c r="L397" s="208"/>
      <c r="M397" s="209"/>
    </row>
    <row r="398" spans="1:13">
      <c r="A398" s="205"/>
      <c r="B398" s="210"/>
      <c r="C398" s="207"/>
      <c r="D398" s="428"/>
      <c r="E398" s="208"/>
      <c r="F398" s="209"/>
      <c r="H398" s="205"/>
      <c r="I398" s="210"/>
      <c r="J398" s="207"/>
      <c r="K398" s="428"/>
      <c r="L398" s="208"/>
      <c r="M398" s="209"/>
    </row>
    <row r="399" spans="1:13">
      <c r="A399" s="198"/>
      <c r="B399" s="198" t="s">
        <v>548</v>
      </c>
      <c r="C399" s="199"/>
      <c r="D399" s="426"/>
      <c r="E399" s="199"/>
      <c r="F399" s="197" t="e">
        <f>SUM(F390:F398)</f>
        <v>#REF!</v>
      </c>
      <c r="H399" s="198"/>
      <c r="I399" s="198" t="s">
        <v>548</v>
      </c>
      <c r="J399" s="199"/>
      <c r="K399" s="426"/>
      <c r="L399" s="199"/>
      <c r="M399" s="197" t="e">
        <f>SUM(M390:M398)</f>
        <v>#REF!</v>
      </c>
    </row>
    <row r="401" spans="1:13">
      <c r="A401" s="199"/>
      <c r="B401" s="364" t="s">
        <v>821</v>
      </c>
      <c r="C401" s="199" t="s">
        <v>592</v>
      </c>
      <c r="D401" s="426"/>
      <c r="E401" s="199"/>
      <c r="F401" s="199"/>
      <c r="H401" s="199"/>
      <c r="I401" s="364" t="s">
        <v>819</v>
      </c>
      <c r="J401" s="199"/>
      <c r="K401" s="426"/>
      <c r="L401" s="199"/>
      <c r="M401" s="199"/>
    </row>
    <row r="402" spans="1:13">
      <c r="A402" s="213"/>
      <c r="B402" s="214"/>
      <c r="C402" s="214"/>
      <c r="D402" s="429"/>
      <c r="E402" s="214"/>
      <c r="F402" s="215"/>
      <c r="H402" s="213"/>
      <c r="I402" s="214"/>
      <c r="J402" s="214"/>
      <c r="K402" s="429"/>
      <c r="L402" s="214"/>
      <c r="M402" s="215"/>
    </row>
    <row r="403" spans="1:13">
      <c r="A403" s="205"/>
      <c r="B403" s="219" t="s">
        <v>593</v>
      </c>
      <c r="C403" s="219">
        <v>1.05</v>
      </c>
      <c r="D403" s="427" t="s">
        <v>25</v>
      </c>
      <c r="E403" s="208" t="e">
        <f>E390</f>
        <v>#REF!</v>
      </c>
      <c r="F403" s="209" t="e">
        <f t="shared" ref="F403:F405" si="127">+C403*E403</f>
        <v>#REF!</v>
      </c>
      <c r="H403" s="205"/>
      <c r="I403" s="219" t="s">
        <v>593</v>
      </c>
      <c r="J403" s="219">
        <v>1.05</v>
      </c>
      <c r="K403" s="427" t="s">
        <v>25</v>
      </c>
      <c r="L403" s="208" t="e">
        <f>L390</f>
        <v>#REF!</v>
      </c>
      <c r="M403" s="209" t="e">
        <f t="shared" ref="M403:M405" si="128">+J403*L403</f>
        <v>#REF!</v>
      </c>
    </row>
    <row r="404" spans="1:13">
      <c r="A404" s="205"/>
      <c r="B404" s="219" t="s">
        <v>43</v>
      </c>
      <c r="C404" s="219" t="e">
        <f>+#REF!</f>
        <v>#REF!</v>
      </c>
      <c r="D404" s="427" t="s">
        <v>13</v>
      </c>
      <c r="E404" s="208" t="e">
        <f t="shared" ref="E404:E405" si="129">E391</f>
        <v>#REF!</v>
      </c>
      <c r="F404" s="209" t="e">
        <f t="shared" si="127"/>
        <v>#REF!</v>
      </c>
      <c r="H404" s="205"/>
      <c r="I404" s="219" t="s">
        <v>43</v>
      </c>
      <c r="J404" s="219" t="e">
        <f>#REF!</f>
        <v>#REF!</v>
      </c>
      <c r="K404" s="427" t="s">
        <v>13</v>
      </c>
      <c r="L404" s="208" t="e">
        <f t="shared" ref="L404:L405" si="130">L391</f>
        <v>#REF!</v>
      </c>
      <c r="M404" s="209" t="e">
        <f t="shared" si="128"/>
        <v>#REF!</v>
      </c>
    </row>
    <row r="405" spans="1:13">
      <c r="A405" s="205"/>
      <c r="B405" s="201" t="s">
        <v>14</v>
      </c>
      <c r="C405" s="219" t="e">
        <f>SUM(C404)*2</f>
        <v>#REF!</v>
      </c>
      <c r="D405" s="427" t="s">
        <v>15</v>
      </c>
      <c r="E405" s="208" t="e">
        <f t="shared" si="129"/>
        <v>#REF!</v>
      </c>
      <c r="F405" s="209" t="e">
        <f t="shared" si="127"/>
        <v>#REF!</v>
      </c>
      <c r="H405" s="205"/>
      <c r="I405" s="201" t="s">
        <v>14</v>
      </c>
      <c r="J405" s="219" t="e">
        <f>SUM(J404)*2</f>
        <v>#REF!</v>
      </c>
      <c r="K405" s="427" t="s">
        <v>15</v>
      </c>
      <c r="L405" s="208" t="e">
        <f t="shared" si="130"/>
        <v>#REF!</v>
      </c>
      <c r="M405" s="209" t="e">
        <f t="shared" si="128"/>
        <v>#REF!</v>
      </c>
    </row>
    <row r="406" spans="1:13">
      <c r="A406" s="205"/>
      <c r="B406" s="160" t="s">
        <v>31</v>
      </c>
      <c r="C406" s="170" t="e">
        <f>SUM(C404:C404)</f>
        <v>#REF!</v>
      </c>
      <c r="D406" s="159" t="s">
        <v>13</v>
      </c>
      <c r="E406" s="161" t="e">
        <f>E393</f>
        <v>#REF!</v>
      </c>
      <c r="F406" s="158" t="e">
        <f t="shared" ref="F406:F409" si="131">C406*E406</f>
        <v>#REF!</v>
      </c>
      <c r="H406" s="205"/>
      <c r="I406" s="160" t="s">
        <v>31</v>
      </c>
      <c r="J406" s="170" t="e">
        <f>SUM(J404:J404)</f>
        <v>#REF!</v>
      </c>
      <c r="K406" s="159" t="s">
        <v>13</v>
      </c>
      <c r="L406" s="161" t="e">
        <f>#REF!</f>
        <v>#REF!</v>
      </c>
      <c r="M406" s="158" t="e">
        <f t="shared" ref="M406:M409" si="132">J406*L406</f>
        <v>#REF!</v>
      </c>
    </row>
    <row r="407" spans="1:13">
      <c r="A407" s="205"/>
      <c r="B407" s="160" t="s">
        <v>876</v>
      </c>
      <c r="C407" s="170">
        <f>1/(0.38*0.2)</f>
        <v>13.157894736842103</v>
      </c>
      <c r="D407" s="159" t="s">
        <v>36</v>
      </c>
      <c r="E407" s="161" t="e">
        <f>E394</f>
        <v>#REF!</v>
      </c>
      <c r="F407" s="158" t="e">
        <f t="shared" si="131"/>
        <v>#REF!</v>
      </c>
      <c r="H407" s="205"/>
      <c r="I407" s="160" t="s">
        <v>878</v>
      </c>
      <c r="J407" s="170">
        <f>1/(0.3*0.2)</f>
        <v>16.666666666666668</v>
      </c>
      <c r="K407" s="159" t="s">
        <v>36</v>
      </c>
      <c r="L407" s="161" t="e">
        <f>E420</f>
        <v>#REF!</v>
      </c>
      <c r="M407" s="158" t="e">
        <f t="shared" si="132"/>
        <v>#REF!</v>
      </c>
    </row>
    <row r="408" spans="1:13">
      <c r="A408" s="205"/>
      <c r="B408" s="160" t="s">
        <v>47</v>
      </c>
      <c r="C408" s="170">
        <v>1</v>
      </c>
      <c r="D408" s="159" t="s">
        <v>25</v>
      </c>
      <c r="E408" s="161" t="e">
        <f t="shared" ref="E408:E409" si="133">E395</f>
        <v>#REF!</v>
      </c>
      <c r="F408" s="158" t="e">
        <f t="shared" si="131"/>
        <v>#REF!</v>
      </c>
      <c r="H408" s="205"/>
      <c r="I408" s="160" t="s">
        <v>47</v>
      </c>
      <c r="J408" s="170">
        <v>1</v>
      </c>
      <c r="K408" s="159" t="s">
        <v>25</v>
      </c>
      <c r="L408" s="161" t="e">
        <f t="shared" ref="L408:L409" si="134">E408</f>
        <v>#REF!</v>
      </c>
      <c r="M408" s="158" t="e">
        <f t="shared" si="132"/>
        <v>#REF!</v>
      </c>
    </row>
    <row r="409" spans="1:13">
      <c r="A409" s="205"/>
      <c r="B409" s="160" t="s">
        <v>7</v>
      </c>
      <c r="C409" s="170" t="e">
        <f>SUM(F403:F405)</f>
        <v>#REF!</v>
      </c>
      <c r="D409" s="159" t="s">
        <v>8</v>
      </c>
      <c r="E409" s="161" t="e">
        <f t="shared" si="133"/>
        <v>#REF!</v>
      </c>
      <c r="F409" s="158" t="e">
        <f t="shared" si="131"/>
        <v>#REF!</v>
      </c>
      <c r="H409" s="205"/>
      <c r="I409" s="160" t="s">
        <v>7</v>
      </c>
      <c r="J409" s="170" t="e">
        <f>SUM(M403:M405)</f>
        <v>#REF!</v>
      </c>
      <c r="K409" s="159" t="s">
        <v>8</v>
      </c>
      <c r="L409" s="161" t="e">
        <f t="shared" si="134"/>
        <v>#REF!</v>
      </c>
      <c r="M409" s="158" t="e">
        <f t="shared" si="132"/>
        <v>#REF!</v>
      </c>
    </row>
    <row r="410" spans="1:13">
      <c r="A410" s="205"/>
      <c r="B410" s="201"/>
      <c r="C410" s="219"/>
      <c r="D410" s="427"/>
      <c r="E410" s="208"/>
      <c r="F410" s="209"/>
      <c r="H410" s="205"/>
      <c r="I410" s="201"/>
      <c r="J410" s="219"/>
      <c r="K410" s="427"/>
      <c r="L410" s="208"/>
      <c r="M410" s="209"/>
    </row>
    <row r="411" spans="1:13">
      <c r="A411" s="205"/>
      <c r="B411" s="210"/>
      <c r="C411" s="207"/>
      <c r="D411" s="428"/>
      <c r="E411" s="208"/>
      <c r="F411" s="209"/>
      <c r="H411" s="205"/>
      <c r="I411" s="210"/>
      <c r="J411" s="207"/>
      <c r="K411" s="428"/>
      <c r="L411" s="208"/>
      <c r="M411" s="209"/>
    </row>
    <row r="412" spans="1:13">
      <c r="A412" s="198"/>
      <c r="B412" s="198" t="s">
        <v>548</v>
      </c>
      <c r="C412" s="199"/>
      <c r="D412" s="426"/>
      <c r="E412" s="199"/>
      <c r="F412" s="197" t="e">
        <f>SUM(F403:F411)</f>
        <v>#REF!</v>
      </c>
      <c r="H412" s="198"/>
      <c r="I412" s="198" t="s">
        <v>548</v>
      </c>
      <c r="J412" s="199"/>
      <c r="K412" s="426"/>
      <c r="L412" s="199"/>
      <c r="M412" s="197" t="e">
        <f>SUM(M403:M411)</f>
        <v>#REF!</v>
      </c>
    </row>
    <row r="414" spans="1:13">
      <c r="A414" s="199"/>
      <c r="B414" s="364" t="s">
        <v>877</v>
      </c>
      <c r="C414" s="199"/>
      <c r="D414" s="426"/>
      <c r="E414" s="199"/>
      <c r="F414" s="199"/>
      <c r="H414" s="199"/>
      <c r="I414" s="364" t="s">
        <v>820</v>
      </c>
      <c r="J414" s="199"/>
      <c r="K414" s="426"/>
      <c r="L414" s="199"/>
      <c r="M414" s="199"/>
    </row>
    <row r="415" spans="1:13">
      <c r="A415" s="213"/>
      <c r="B415" s="214"/>
      <c r="C415" s="214"/>
      <c r="D415" s="429"/>
      <c r="E415" s="214"/>
      <c r="F415" s="215"/>
      <c r="H415" s="213"/>
      <c r="I415" s="214"/>
      <c r="J415" s="214"/>
      <c r="K415" s="429"/>
      <c r="L415" s="214"/>
      <c r="M415" s="215"/>
    </row>
    <row r="416" spans="1:13">
      <c r="A416" s="205"/>
      <c r="B416" s="219" t="s">
        <v>593</v>
      </c>
      <c r="C416" s="219">
        <v>1.05</v>
      </c>
      <c r="D416" s="427" t="s">
        <v>25</v>
      </c>
      <c r="E416" s="208" t="e">
        <f>E403</f>
        <v>#REF!</v>
      </c>
      <c r="F416" s="209" t="e">
        <f t="shared" ref="F416:F418" si="135">+C416*E416</f>
        <v>#REF!</v>
      </c>
      <c r="H416" s="205"/>
      <c r="I416" s="219" t="s">
        <v>593</v>
      </c>
      <c r="J416" s="219">
        <v>1.05</v>
      </c>
      <c r="K416" s="427" t="s">
        <v>25</v>
      </c>
      <c r="L416" s="208" t="e">
        <f>L403</f>
        <v>#REF!</v>
      </c>
      <c r="M416" s="209" t="e">
        <f t="shared" ref="M416:M418" si="136">+J416*L416</f>
        <v>#REF!</v>
      </c>
    </row>
    <row r="417" spans="1:13">
      <c r="A417" s="205"/>
      <c r="B417" s="219" t="s">
        <v>43</v>
      </c>
      <c r="C417" s="219" t="e">
        <f>#REF!</f>
        <v>#REF!</v>
      </c>
      <c r="D417" s="427" t="s">
        <v>13</v>
      </c>
      <c r="E417" s="208" t="e">
        <f t="shared" ref="E417:E418" si="137">E404</f>
        <v>#REF!</v>
      </c>
      <c r="F417" s="209" t="e">
        <f t="shared" si="135"/>
        <v>#REF!</v>
      </c>
      <c r="H417" s="205"/>
      <c r="I417" s="219" t="s">
        <v>43</v>
      </c>
      <c r="J417" s="219" t="e">
        <f>#REF!</f>
        <v>#REF!</v>
      </c>
      <c r="K417" s="427" t="s">
        <v>13</v>
      </c>
      <c r="L417" s="208" t="e">
        <f t="shared" ref="L417:L418" si="138">L404</f>
        <v>#REF!</v>
      </c>
      <c r="M417" s="209" t="e">
        <f t="shared" si="136"/>
        <v>#REF!</v>
      </c>
    </row>
    <row r="418" spans="1:13">
      <c r="A418" s="205"/>
      <c r="B418" s="201" t="s">
        <v>14</v>
      </c>
      <c r="C418" s="219" t="e">
        <f>SUM(C417)*2</f>
        <v>#REF!</v>
      </c>
      <c r="D418" s="427" t="s">
        <v>15</v>
      </c>
      <c r="E418" s="208" t="e">
        <f t="shared" si="137"/>
        <v>#REF!</v>
      </c>
      <c r="F418" s="209" t="e">
        <f t="shared" si="135"/>
        <v>#REF!</v>
      </c>
      <c r="H418" s="205"/>
      <c r="I418" s="201" t="s">
        <v>14</v>
      </c>
      <c r="J418" s="219" t="e">
        <f>SUM(J417)*2</f>
        <v>#REF!</v>
      </c>
      <c r="K418" s="427" t="s">
        <v>15</v>
      </c>
      <c r="L418" s="208" t="e">
        <f t="shared" si="138"/>
        <v>#REF!</v>
      </c>
      <c r="M418" s="209" t="e">
        <f t="shared" si="136"/>
        <v>#REF!</v>
      </c>
    </row>
    <row r="419" spans="1:13">
      <c r="A419" s="205"/>
      <c r="B419" s="160" t="s">
        <v>31</v>
      </c>
      <c r="C419" s="170" t="e">
        <f>SUM(C417:C417)</f>
        <v>#REF!</v>
      </c>
      <c r="D419" s="159" t="s">
        <v>13</v>
      </c>
      <c r="E419" s="161" t="e">
        <f>#REF!</f>
        <v>#REF!</v>
      </c>
      <c r="F419" s="158" t="e">
        <f t="shared" ref="F419:F422" si="139">C419*E419</f>
        <v>#REF!</v>
      </c>
      <c r="H419" s="205"/>
      <c r="I419" s="160" t="s">
        <v>31</v>
      </c>
      <c r="J419" s="170" t="e">
        <f>SUM(J417:J417)</f>
        <v>#REF!</v>
      </c>
      <c r="K419" s="159" t="s">
        <v>13</v>
      </c>
      <c r="L419" s="161" t="e">
        <f>#REF!</f>
        <v>#REF!</v>
      </c>
      <c r="M419" s="158" t="e">
        <f t="shared" ref="M419:M422" si="140">J419*L419</f>
        <v>#REF!</v>
      </c>
    </row>
    <row r="420" spans="1:13">
      <c r="A420" s="205"/>
      <c r="B420" s="160" t="s">
        <v>876</v>
      </c>
      <c r="C420" s="170">
        <f>1/(0.38*0.2)</f>
        <v>13.157894736842103</v>
      </c>
      <c r="D420" s="159" t="s">
        <v>36</v>
      </c>
      <c r="E420" s="161" t="e">
        <f>#REF!</f>
        <v>#REF!</v>
      </c>
      <c r="F420" s="158" t="e">
        <f t="shared" si="139"/>
        <v>#REF!</v>
      </c>
      <c r="H420" s="205"/>
      <c r="I420" s="160" t="s">
        <v>878</v>
      </c>
      <c r="J420" s="170">
        <f>1/(0.3*0.2)</f>
        <v>16.666666666666668</v>
      </c>
      <c r="K420" s="159" t="s">
        <v>36</v>
      </c>
      <c r="L420" s="161" t="e">
        <f>E420</f>
        <v>#REF!</v>
      </c>
      <c r="M420" s="158" t="e">
        <f t="shared" si="140"/>
        <v>#REF!</v>
      </c>
    </row>
    <row r="421" spans="1:13">
      <c r="A421" s="205"/>
      <c r="B421" s="160" t="s">
        <v>47</v>
      </c>
      <c r="C421" s="170">
        <v>1</v>
      </c>
      <c r="D421" s="159" t="s">
        <v>25</v>
      </c>
      <c r="E421" s="161" t="e">
        <f t="shared" ref="E421:E422" si="141">E408</f>
        <v>#REF!</v>
      </c>
      <c r="F421" s="158" t="e">
        <f t="shared" si="139"/>
        <v>#REF!</v>
      </c>
      <c r="H421" s="205"/>
      <c r="I421" s="160" t="s">
        <v>47</v>
      </c>
      <c r="J421" s="170">
        <v>1</v>
      </c>
      <c r="K421" s="159" t="s">
        <v>25</v>
      </c>
      <c r="L421" s="161" t="e">
        <f t="shared" ref="L421:L422" si="142">E421</f>
        <v>#REF!</v>
      </c>
      <c r="M421" s="158" t="e">
        <f t="shared" si="140"/>
        <v>#REF!</v>
      </c>
    </row>
    <row r="422" spans="1:13">
      <c r="A422" s="205"/>
      <c r="B422" s="160" t="s">
        <v>7</v>
      </c>
      <c r="C422" s="170" t="e">
        <f>SUM(F416:F418)</f>
        <v>#REF!</v>
      </c>
      <c r="D422" s="159" t="s">
        <v>8</v>
      </c>
      <c r="E422" s="161" t="e">
        <f t="shared" si="141"/>
        <v>#REF!</v>
      </c>
      <c r="F422" s="158" t="e">
        <f t="shared" si="139"/>
        <v>#REF!</v>
      </c>
      <c r="H422" s="205"/>
      <c r="I422" s="160" t="s">
        <v>7</v>
      </c>
      <c r="J422" s="170" t="e">
        <f>SUM(M416:M418)</f>
        <v>#REF!</v>
      </c>
      <c r="K422" s="159" t="s">
        <v>8</v>
      </c>
      <c r="L422" s="161" t="e">
        <f t="shared" si="142"/>
        <v>#REF!</v>
      </c>
      <c r="M422" s="158" t="e">
        <f t="shared" si="140"/>
        <v>#REF!</v>
      </c>
    </row>
    <row r="423" spans="1:13">
      <c r="A423" s="205"/>
      <c r="B423" s="201"/>
      <c r="C423" s="219"/>
      <c r="D423" s="427"/>
      <c r="E423" s="208"/>
      <c r="F423" s="209"/>
      <c r="H423" s="205"/>
      <c r="I423" s="201"/>
      <c r="J423" s="219"/>
      <c r="K423" s="427"/>
      <c r="L423" s="208"/>
      <c r="M423" s="209"/>
    </row>
    <row r="424" spans="1:13">
      <c r="A424" s="205"/>
      <c r="B424" s="210"/>
      <c r="C424" s="207"/>
      <c r="D424" s="428"/>
      <c r="E424" s="208"/>
      <c r="F424" s="209"/>
      <c r="H424" s="205"/>
      <c r="I424" s="210"/>
      <c r="J424" s="207"/>
      <c r="K424" s="428"/>
      <c r="L424" s="208"/>
      <c r="M424" s="209"/>
    </row>
    <row r="425" spans="1:13">
      <c r="A425" s="198"/>
      <c r="B425" s="198" t="s">
        <v>548</v>
      </c>
      <c r="C425" s="199"/>
      <c r="D425" s="426"/>
      <c r="E425" s="199"/>
      <c r="F425" s="197" t="e">
        <f>SUM(F416:F424)</f>
        <v>#REF!</v>
      </c>
      <c r="H425" s="198"/>
      <c r="I425" s="198" t="s">
        <v>548</v>
      </c>
      <c r="J425" s="199"/>
      <c r="K425" s="426"/>
      <c r="L425" s="199"/>
      <c r="M425" s="197" t="e">
        <f>SUM(M416:M424)</f>
        <v>#REF!</v>
      </c>
    </row>
    <row r="428" spans="1:13">
      <c r="A428" s="199"/>
      <c r="B428" s="364" t="s">
        <v>822</v>
      </c>
      <c r="C428" s="199" t="s">
        <v>592</v>
      </c>
      <c r="D428" s="426"/>
      <c r="E428" s="199"/>
      <c r="F428" s="199"/>
      <c r="H428" s="199"/>
      <c r="I428" s="364" t="s">
        <v>754</v>
      </c>
      <c r="J428" s="199"/>
      <c r="K428" s="426"/>
      <c r="L428" s="199"/>
      <c r="M428" s="199"/>
    </row>
    <row r="429" spans="1:13">
      <c r="A429" s="213"/>
      <c r="B429" s="214"/>
      <c r="C429" s="214"/>
      <c r="D429" s="429"/>
      <c r="E429" s="214"/>
      <c r="F429" s="215"/>
      <c r="H429" s="213"/>
      <c r="I429" s="214"/>
      <c r="J429" s="214"/>
      <c r="K429" s="429"/>
      <c r="L429" s="214"/>
      <c r="M429" s="215"/>
    </row>
    <row r="430" spans="1:13">
      <c r="A430" s="205"/>
      <c r="B430" s="219" t="s">
        <v>593</v>
      </c>
      <c r="C430" s="219">
        <v>1.05</v>
      </c>
      <c r="D430" s="427" t="s">
        <v>25</v>
      </c>
      <c r="E430" s="208" t="e">
        <f>E416</f>
        <v>#REF!</v>
      </c>
      <c r="F430" s="209" t="e">
        <f t="shared" ref="F430:F432" si="143">+C430*E430</f>
        <v>#REF!</v>
      </c>
      <c r="H430" s="205"/>
      <c r="I430" s="219" t="s">
        <v>593</v>
      </c>
      <c r="J430" s="219">
        <v>1.05</v>
      </c>
      <c r="K430" s="427" t="s">
        <v>25</v>
      </c>
      <c r="L430" s="208" t="e">
        <f>L416</f>
        <v>#REF!</v>
      </c>
      <c r="M430" s="209" t="e">
        <f t="shared" ref="M430:M432" si="144">+J430*L430</f>
        <v>#REF!</v>
      </c>
    </row>
    <row r="431" spans="1:13">
      <c r="A431" s="205"/>
      <c r="B431" s="219" t="s">
        <v>43</v>
      </c>
      <c r="C431" s="219" t="e">
        <f>#REF!</f>
        <v>#REF!</v>
      </c>
      <c r="D431" s="427" t="s">
        <v>13</v>
      </c>
      <c r="E431" s="208" t="e">
        <f t="shared" ref="E431:E432" si="145">E417</f>
        <v>#REF!</v>
      </c>
      <c r="F431" s="209" t="e">
        <f t="shared" si="143"/>
        <v>#REF!</v>
      </c>
      <c r="H431" s="205"/>
      <c r="I431" s="219" t="s">
        <v>43</v>
      </c>
      <c r="J431" s="219" t="e">
        <f>#REF!</f>
        <v>#REF!</v>
      </c>
      <c r="K431" s="427" t="s">
        <v>13</v>
      </c>
      <c r="L431" s="208" t="e">
        <f t="shared" ref="L431:L432" si="146">L417</f>
        <v>#REF!</v>
      </c>
      <c r="M431" s="209" t="e">
        <f t="shared" si="144"/>
        <v>#REF!</v>
      </c>
    </row>
    <row r="432" spans="1:13">
      <c r="A432" s="205"/>
      <c r="B432" s="201" t="s">
        <v>14</v>
      </c>
      <c r="C432" s="219" t="e">
        <f>SUM(C431)*2</f>
        <v>#REF!</v>
      </c>
      <c r="D432" s="427" t="s">
        <v>15</v>
      </c>
      <c r="E432" s="208" t="e">
        <f t="shared" si="145"/>
        <v>#REF!</v>
      </c>
      <c r="F432" s="209" t="e">
        <f t="shared" si="143"/>
        <v>#REF!</v>
      </c>
      <c r="H432" s="205"/>
      <c r="I432" s="201" t="s">
        <v>14</v>
      </c>
      <c r="J432" s="219" t="e">
        <f>SUM(J431)*2</f>
        <v>#REF!</v>
      </c>
      <c r="K432" s="427" t="s">
        <v>15</v>
      </c>
      <c r="L432" s="208" t="e">
        <f t="shared" si="146"/>
        <v>#REF!</v>
      </c>
      <c r="M432" s="209" t="e">
        <f t="shared" si="144"/>
        <v>#REF!</v>
      </c>
    </row>
    <row r="433" spans="1:13">
      <c r="A433" s="205"/>
      <c r="B433" s="160" t="s">
        <v>31</v>
      </c>
      <c r="C433" s="170" t="e">
        <f>SUM(C431:C431)</f>
        <v>#REF!</v>
      </c>
      <c r="D433" s="159" t="s">
        <v>13</v>
      </c>
      <c r="E433" s="161" t="e">
        <f>#REF!</f>
        <v>#REF!</v>
      </c>
      <c r="F433" s="158" t="e">
        <f t="shared" ref="F433:F436" si="147">C433*E433</f>
        <v>#REF!</v>
      </c>
      <c r="H433" s="205"/>
      <c r="I433" s="160" t="s">
        <v>31</v>
      </c>
      <c r="J433" s="170" t="e">
        <f>SUM(J431:J431)</f>
        <v>#REF!</v>
      </c>
      <c r="K433" s="159" t="s">
        <v>13</v>
      </c>
      <c r="L433" s="161" t="e">
        <f>#REF!</f>
        <v>#REF!</v>
      </c>
      <c r="M433" s="158" t="e">
        <f t="shared" ref="M433:M436" si="148">J433*L433</f>
        <v>#REF!</v>
      </c>
    </row>
    <row r="434" spans="1:13">
      <c r="A434" s="205"/>
      <c r="B434" s="160" t="s">
        <v>876</v>
      </c>
      <c r="C434" s="170">
        <f>1/(0.38*0.2)</f>
        <v>13.157894736842103</v>
      </c>
      <c r="D434" s="159" t="s">
        <v>36</v>
      </c>
      <c r="E434" s="161" t="e">
        <f>E420</f>
        <v>#REF!</v>
      </c>
      <c r="F434" s="158" t="e">
        <f t="shared" si="147"/>
        <v>#REF!</v>
      </c>
      <c r="H434" s="205"/>
      <c r="I434" s="160" t="s">
        <v>880</v>
      </c>
      <c r="J434" s="170">
        <f>1/(0.3*0.4)</f>
        <v>8.3333333333333339</v>
      </c>
      <c r="K434" s="159" t="s">
        <v>36</v>
      </c>
      <c r="L434" s="161" t="e">
        <f>L420</f>
        <v>#REF!</v>
      </c>
      <c r="M434" s="158" t="e">
        <f t="shared" si="148"/>
        <v>#REF!</v>
      </c>
    </row>
    <row r="435" spans="1:13">
      <c r="A435" s="205"/>
      <c r="B435" s="160" t="s">
        <v>47</v>
      </c>
      <c r="C435" s="170">
        <v>1</v>
      </c>
      <c r="D435" s="159" t="s">
        <v>25</v>
      </c>
      <c r="E435" s="161" t="e">
        <f t="shared" ref="E435:E436" si="149">E421</f>
        <v>#REF!</v>
      </c>
      <c r="F435" s="158" t="e">
        <f t="shared" si="147"/>
        <v>#REF!</v>
      </c>
      <c r="H435" s="205"/>
      <c r="I435" s="160" t="s">
        <v>47</v>
      </c>
      <c r="J435" s="170">
        <v>1</v>
      </c>
      <c r="K435" s="159" t="s">
        <v>25</v>
      </c>
      <c r="L435" s="161" t="e">
        <f t="shared" ref="L435:L436" si="150">L421</f>
        <v>#REF!</v>
      </c>
      <c r="M435" s="158" t="e">
        <f t="shared" si="148"/>
        <v>#REF!</v>
      </c>
    </row>
    <row r="436" spans="1:13">
      <c r="A436" s="205"/>
      <c r="B436" s="160" t="s">
        <v>7</v>
      </c>
      <c r="C436" s="170" t="e">
        <f>SUM(F430:F432)</f>
        <v>#REF!</v>
      </c>
      <c r="D436" s="159" t="s">
        <v>8</v>
      </c>
      <c r="E436" s="161" t="e">
        <f t="shared" si="149"/>
        <v>#REF!</v>
      </c>
      <c r="F436" s="158" t="e">
        <f t="shared" si="147"/>
        <v>#REF!</v>
      </c>
      <c r="H436" s="205"/>
      <c r="I436" s="160" t="s">
        <v>7</v>
      </c>
      <c r="J436" s="170" t="e">
        <f>SUM(M430:M432)</f>
        <v>#REF!</v>
      </c>
      <c r="K436" s="159" t="s">
        <v>8</v>
      </c>
      <c r="L436" s="161" t="e">
        <f t="shared" si="150"/>
        <v>#REF!</v>
      </c>
      <c r="M436" s="158" t="e">
        <f t="shared" si="148"/>
        <v>#REF!</v>
      </c>
    </row>
    <row r="437" spans="1:13">
      <c r="A437" s="205"/>
      <c r="B437" s="201"/>
      <c r="C437" s="219"/>
      <c r="D437" s="427"/>
      <c r="E437" s="208"/>
      <c r="F437" s="209"/>
      <c r="H437" s="205"/>
      <c r="I437" s="201"/>
      <c r="J437" s="219"/>
      <c r="K437" s="427"/>
      <c r="L437" s="208"/>
      <c r="M437" s="209"/>
    </row>
    <row r="438" spans="1:13">
      <c r="A438" s="205"/>
      <c r="B438" s="210"/>
      <c r="C438" s="207"/>
      <c r="D438" s="428"/>
      <c r="E438" s="208"/>
      <c r="F438" s="209"/>
      <c r="H438" s="205"/>
      <c r="I438" s="210"/>
      <c r="J438" s="207"/>
      <c r="K438" s="428"/>
      <c r="L438" s="208"/>
      <c r="M438" s="209"/>
    </row>
    <row r="439" spans="1:13">
      <c r="A439" s="198"/>
      <c r="B439" s="198" t="s">
        <v>548</v>
      </c>
      <c r="C439" s="199"/>
      <c r="D439" s="426"/>
      <c r="E439" s="199"/>
      <c r="F439" s="197" t="e">
        <f>SUM(F430:F438)</f>
        <v>#REF!</v>
      </c>
      <c r="H439" s="198"/>
      <c r="I439" s="198" t="s">
        <v>548</v>
      </c>
      <c r="J439" s="199"/>
      <c r="K439" s="426"/>
      <c r="L439" s="199"/>
      <c r="M439" s="197" t="e">
        <f>SUM(M430:M438)</f>
        <v>#REF!</v>
      </c>
    </row>
    <row r="440" spans="1:13">
      <c r="A440" s="212"/>
      <c r="B440" s="212"/>
      <c r="C440" s="212"/>
      <c r="D440" s="432"/>
      <c r="E440" s="212"/>
      <c r="F440" s="212"/>
    </row>
    <row r="441" spans="1:13">
      <c r="A441" s="199"/>
      <c r="B441" s="364" t="s">
        <v>755</v>
      </c>
      <c r="C441" s="199"/>
      <c r="D441" s="426"/>
      <c r="E441" s="199"/>
      <c r="F441" s="199"/>
      <c r="H441" s="199"/>
      <c r="I441" s="364" t="s">
        <v>881</v>
      </c>
      <c r="J441" s="199" t="s">
        <v>592</v>
      </c>
      <c r="K441" s="426"/>
      <c r="L441" s="199"/>
      <c r="M441" s="199"/>
    </row>
    <row r="442" spans="1:13">
      <c r="A442" s="213"/>
      <c r="B442" s="214"/>
      <c r="C442" s="214"/>
      <c r="D442" s="429"/>
      <c r="E442" s="214"/>
      <c r="F442" s="215"/>
      <c r="H442" s="213"/>
      <c r="I442" s="214"/>
      <c r="J442" s="214"/>
      <c r="K442" s="429"/>
      <c r="L442" s="214"/>
      <c r="M442" s="215"/>
    </row>
    <row r="443" spans="1:13">
      <c r="A443" s="205"/>
      <c r="B443" s="219" t="s">
        <v>593</v>
      </c>
      <c r="C443" s="219">
        <v>1.05</v>
      </c>
      <c r="D443" s="427" t="s">
        <v>25</v>
      </c>
      <c r="E443" s="208" t="e">
        <f>E430</f>
        <v>#REF!</v>
      </c>
      <c r="F443" s="209" t="e">
        <f t="shared" ref="F443:F445" si="151">+C443*E443</f>
        <v>#REF!</v>
      </c>
      <c r="H443" s="205"/>
      <c r="I443" s="219" t="s">
        <v>593</v>
      </c>
      <c r="J443" s="219">
        <v>1.05</v>
      </c>
      <c r="K443" s="427" t="s">
        <v>25</v>
      </c>
      <c r="L443" s="208" t="e">
        <f>E443</f>
        <v>#REF!</v>
      </c>
      <c r="M443" s="209" t="e">
        <f t="shared" ref="M443:M445" si="152">+J443*L443</f>
        <v>#REF!</v>
      </c>
    </row>
    <row r="444" spans="1:13" ht="14.45" customHeight="1">
      <c r="A444" s="205"/>
      <c r="B444" s="219" t="s">
        <v>43</v>
      </c>
      <c r="C444" s="219" t="e">
        <f>#REF!</f>
        <v>#REF!</v>
      </c>
      <c r="D444" s="427" t="s">
        <v>13</v>
      </c>
      <c r="E444" s="208" t="e">
        <f t="shared" ref="E444:E445" si="153">E431</f>
        <v>#REF!</v>
      </c>
      <c r="F444" s="209" t="e">
        <f t="shared" si="151"/>
        <v>#REF!</v>
      </c>
      <c r="H444" s="205"/>
      <c r="I444" s="219" t="s">
        <v>43</v>
      </c>
      <c r="J444" s="219" t="e">
        <f>#REF!</f>
        <v>#REF!</v>
      </c>
      <c r="K444" s="427" t="s">
        <v>13</v>
      </c>
      <c r="L444" s="208" t="e">
        <f t="shared" ref="L444:L445" si="154">E444</f>
        <v>#REF!</v>
      </c>
      <c r="M444" s="209" t="e">
        <f t="shared" si="152"/>
        <v>#REF!</v>
      </c>
    </row>
    <row r="445" spans="1:13" ht="14.45" customHeight="1">
      <c r="A445" s="205"/>
      <c r="B445" s="201" t="s">
        <v>14</v>
      </c>
      <c r="C445" s="219" t="e">
        <f>SUM(C444)*2</f>
        <v>#REF!</v>
      </c>
      <c r="D445" s="427" t="s">
        <v>15</v>
      </c>
      <c r="E445" s="208" t="e">
        <f t="shared" si="153"/>
        <v>#REF!</v>
      </c>
      <c r="F445" s="209" t="e">
        <f t="shared" si="151"/>
        <v>#REF!</v>
      </c>
      <c r="H445" s="205"/>
      <c r="I445" s="201" t="s">
        <v>14</v>
      </c>
      <c r="J445" s="219" t="e">
        <f>SUM(J444)*2</f>
        <v>#REF!</v>
      </c>
      <c r="K445" s="427" t="s">
        <v>15</v>
      </c>
      <c r="L445" s="208" t="e">
        <f t="shared" si="154"/>
        <v>#REF!</v>
      </c>
      <c r="M445" s="209" t="e">
        <f t="shared" si="152"/>
        <v>#REF!</v>
      </c>
    </row>
    <row r="446" spans="1:13" ht="14.45" customHeight="1">
      <c r="A446" s="205"/>
      <c r="B446" s="160" t="s">
        <v>31</v>
      </c>
      <c r="C446" s="170" t="e">
        <f>SUM(C444:C444)</f>
        <v>#REF!</v>
      </c>
      <c r="D446" s="159" t="s">
        <v>13</v>
      </c>
      <c r="E446" s="161" t="e">
        <f>#REF!</f>
        <v>#REF!</v>
      </c>
      <c r="F446" s="158" t="e">
        <f t="shared" ref="F446:F449" si="155">C446*E446</f>
        <v>#REF!</v>
      </c>
      <c r="H446" s="205"/>
      <c r="I446" s="160" t="s">
        <v>31</v>
      </c>
      <c r="J446" s="170" t="e">
        <f>SUM(J444:J444)</f>
        <v>#REF!</v>
      </c>
      <c r="K446" s="159" t="s">
        <v>13</v>
      </c>
      <c r="L446" s="161" t="e">
        <f>#REF!</f>
        <v>#REF!</v>
      </c>
      <c r="M446" s="158" t="e">
        <f t="shared" ref="M446:M449" si="156">J446*L446</f>
        <v>#REF!</v>
      </c>
    </row>
    <row r="447" spans="1:13" ht="14.45" customHeight="1">
      <c r="A447" s="205"/>
      <c r="B447" s="160" t="s">
        <v>880</v>
      </c>
      <c r="C447" s="170">
        <f>1/(0.3*0.4)</f>
        <v>8.3333333333333339</v>
      </c>
      <c r="D447" s="159" t="s">
        <v>36</v>
      </c>
      <c r="E447" s="161" t="e">
        <f>E434</f>
        <v>#REF!</v>
      </c>
      <c r="F447" s="158" t="e">
        <f t="shared" si="155"/>
        <v>#REF!</v>
      </c>
      <c r="H447" s="205"/>
      <c r="I447" s="160" t="s">
        <v>880</v>
      </c>
      <c r="J447" s="170">
        <f>1/(0.3*0.4)</f>
        <v>8.3333333333333339</v>
      </c>
      <c r="K447" s="159" t="s">
        <v>36</v>
      </c>
      <c r="L447" s="161" t="e">
        <f>L434</f>
        <v>#REF!</v>
      </c>
      <c r="M447" s="158" t="e">
        <f t="shared" si="156"/>
        <v>#REF!</v>
      </c>
    </row>
    <row r="448" spans="1:13" ht="14.45" customHeight="1">
      <c r="A448" s="205"/>
      <c r="B448" s="160" t="s">
        <v>47</v>
      </c>
      <c r="C448" s="170">
        <v>1</v>
      </c>
      <c r="D448" s="159" t="s">
        <v>25</v>
      </c>
      <c r="E448" s="161" t="e">
        <f t="shared" ref="E448:E449" si="157">E435</f>
        <v>#REF!</v>
      </c>
      <c r="F448" s="158" t="e">
        <f t="shared" si="155"/>
        <v>#REF!</v>
      </c>
      <c r="H448" s="205"/>
      <c r="I448" s="160" t="s">
        <v>47</v>
      </c>
      <c r="J448" s="170">
        <v>1</v>
      </c>
      <c r="K448" s="159" t="s">
        <v>25</v>
      </c>
      <c r="L448" s="161" t="e">
        <f t="shared" ref="L448:L449" si="158">L435</f>
        <v>#REF!</v>
      </c>
      <c r="M448" s="158" t="e">
        <f t="shared" si="156"/>
        <v>#REF!</v>
      </c>
    </row>
    <row r="449" spans="1:13" ht="14.45" customHeight="1">
      <c r="A449" s="205"/>
      <c r="B449" s="160" t="s">
        <v>7</v>
      </c>
      <c r="C449" s="170" t="e">
        <f>SUM(F443:F445)</f>
        <v>#REF!</v>
      </c>
      <c r="D449" s="159" t="s">
        <v>8</v>
      </c>
      <c r="E449" s="161" t="e">
        <f t="shared" si="157"/>
        <v>#REF!</v>
      </c>
      <c r="F449" s="158" t="e">
        <f t="shared" si="155"/>
        <v>#REF!</v>
      </c>
      <c r="H449" s="205"/>
      <c r="I449" s="160" t="s">
        <v>7</v>
      </c>
      <c r="J449" s="170" t="e">
        <f>SUM(M443:M445)</f>
        <v>#REF!</v>
      </c>
      <c r="K449" s="159" t="s">
        <v>8</v>
      </c>
      <c r="L449" s="161" t="e">
        <f t="shared" si="158"/>
        <v>#REF!</v>
      </c>
      <c r="M449" s="158" t="e">
        <f t="shared" si="156"/>
        <v>#REF!</v>
      </c>
    </row>
    <row r="450" spans="1:13" ht="14.45" customHeight="1">
      <c r="A450" s="205"/>
      <c r="B450" s="201"/>
      <c r="C450" s="219"/>
      <c r="D450" s="427"/>
      <c r="E450" s="208"/>
      <c r="F450" s="209"/>
      <c r="H450" s="205"/>
      <c r="I450" s="201"/>
      <c r="J450" s="219"/>
      <c r="K450" s="427"/>
      <c r="L450" s="208"/>
      <c r="M450" s="209"/>
    </row>
    <row r="451" spans="1:13" ht="14.45" customHeight="1">
      <c r="A451" s="205"/>
      <c r="B451" s="210"/>
      <c r="C451" s="207"/>
      <c r="D451" s="428"/>
      <c r="E451" s="208"/>
      <c r="F451" s="209"/>
      <c r="H451" s="205"/>
      <c r="I451" s="210"/>
      <c r="J451" s="207"/>
      <c r="K451" s="428"/>
      <c r="L451" s="208"/>
      <c r="M451" s="209"/>
    </row>
    <row r="452" spans="1:13" ht="14.45" customHeight="1">
      <c r="A452" s="198"/>
      <c r="B452" s="198" t="s">
        <v>548</v>
      </c>
      <c r="C452" s="199"/>
      <c r="D452" s="426"/>
      <c r="E452" s="199"/>
      <c r="F452" s="197" t="e">
        <f>SUM(F443:F451)</f>
        <v>#REF!</v>
      </c>
      <c r="H452" s="198"/>
      <c r="I452" s="198" t="s">
        <v>548</v>
      </c>
      <c r="J452" s="199"/>
      <c r="K452" s="426"/>
      <c r="L452" s="199"/>
      <c r="M452" s="197" t="e">
        <f>SUM(M443:M451)</f>
        <v>#REF!</v>
      </c>
    </row>
    <row r="453" spans="1:13" ht="14.45" customHeight="1"/>
    <row r="454" spans="1:13" ht="14.45" customHeight="1">
      <c r="A454" s="199"/>
      <c r="B454" s="364" t="s">
        <v>826</v>
      </c>
      <c r="C454" s="199" t="s">
        <v>592</v>
      </c>
      <c r="D454" s="426"/>
      <c r="E454" s="199"/>
      <c r="F454" s="199"/>
      <c r="H454" s="199"/>
      <c r="I454" s="364" t="s">
        <v>823</v>
      </c>
      <c r="J454" s="199" t="s">
        <v>592</v>
      </c>
      <c r="K454" s="426"/>
      <c r="L454" s="199"/>
      <c r="M454" s="199"/>
    </row>
    <row r="455" spans="1:13" ht="14.45" customHeight="1">
      <c r="A455" s="213"/>
      <c r="B455" s="214"/>
      <c r="C455" s="214"/>
      <c r="D455" s="429"/>
      <c r="E455" s="214"/>
      <c r="F455" s="215"/>
      <c r="H455" s="213"/>
      <c r="I455" s="214"/>
      <c r="J455" s="214"/>
      <c r="K455" s="429"/>
      <c r="L455" s="214"/>
      <c r="M455" s="215"/>
    </row>
    <row r="456" spans="1:13" ht="14.45" customHeight="1">
      <c r="A456" s="205"/>
      <c r="B456" s="219" t="s">
        <v>593</v>
      </c>
      <c r="C456" s="219">
        <v>1.05</v>
      </c>
      <c r="D456" s="427" t="s">
        <v>25</v>
      </c>
      <c r="E456" s="208" t="e">
        <f>E443</f>
        <v>#REF!</v>
      </c>
      <c r="F456" s="209" t="e">
        <f t="shared" ref="F456:F458" si="159">+C456*E456</f>
        <v>#REF!</v>
      </c>
      <c r="H456" s="205"/>
      <c r="I456" s="219" t="s">
        <v>593</v>
      </c>
      <c r="J456" s="219">
        <v>1.05</v>
      </c>
      <c r="K456" s="427" t="s">
        <v>25</v>
      </c>
      <c r="L456" s="208" t="e">
        <f>+L443</f>
        <v>#REF!</v>
      </c>
      <c r="M456" s="209" t="e">
        <f t="shared" ref="M456:M458" si="160">+J456*L456</f>
        <v>#REF!</v>
      </c>
    </row>
    <row r="457" spans="1:13" ht="14.45" customHeight="1">
      <c r="A457" s="205"/>
      <c r="B457" s="219" t="s">
        <v>43</v>
      </c>
      <c r="C457" s="219" t="e">
        <f>+#REF!</f>
        <v>#REF!</v>
      </c>
      <c r="D457" s="427" t="s">
        <v>13</v>
      </c>
      <c r="E457" s="208" t="e">
        <f t="shared" ref="E457:E458" si="161">E444</f>
        <v>#REF!</v>
      </c>
      <c r="F457" s="209" t="e">
        <f t="shared" si="159"/>
        <v>#REF!</v>
      </c>
      <c r="H457" s="205"/>
      <c r="I457" s="219" t="s">
        <v>43</v>
      </c>
      <c r="J457" s="219" t="e">
        <f>#REF!</f>
        <v>#REF!</v>
      </c>
      <c r="K457" s="427" t="s">
        <v>13</v>
      </c>
      <c r="L457" s="216" t="e">
        <f>+L444</f>
        <v>#REF!</v>
      </c>
      <c r="M457" s="209" t="e">
        <f t="shared" si="160"/>
        <v>#REF!</v>
      </c>
    </row>
    <row r="458" spans="1:13" ht="14.45" customHeight="1">
      <c r="A458" s="205"/>
      <c r="B458" s="201" t="s">
        <v>14</v>
      </c>
      <c r="C458" s="219" t="e">
        <f>SUM(C457)*2</f>
        <v>#REF!</v>
      </c>
      <c r="D458" s="427" t="s">
        <v>15</v>
      </c>
      <c r="E458" s="208" t="e">
        <f t="shared" si="161"/>
        <v>#REF!</v>
      </c>
      <c r="F458" s="209" t="e">
        <f t="shared" si="159"/>
        <v>#REF!</v>
      </c>
      <c r="H458" s="205"/>
      <c r="I458" s="201" t="s">
        <v>14</v>
      </c>
      <c r="J458" s="219" t="e">
        <f>SUM(J457)*2</f>
        <v>#REF!</v>
      </c>
      <c r="K458" s="427" t="s">
        <v>15</v>
      </c>
      <c r="L458" s="208">
        <v>52</v>
      </c>
      <c r="M458" s="209" t="e">
        <f t="shared" si="160"/>
        <v>#REF!</v>
      </c>
    </row>
    <row r="459" spans="1:13" ht="14.45" customHeight="1">
      <c r="A459" s="205"/>
      <c r="B459" s="160" t="s">
        <v>31</v>
      </c>
      <c r="C459" s="170" t="e">
        <f>SUM(C457:C457)</f>
        <v>#REF!</v>
      </c>
      <c r="D459" s="159" t="s">
        <v>13</v>
      </c>
      <c r="E459" s="161" t="e">
        <f>#REF!</f>
        <v>#REF!</v>
      </c>
      <c r="F459" s="158" t="e">
        <f t="shared" ref="F459:F462" si="162">C459*E459</f>
        <v>#REF!</v>
      </c>
      <c r="H459" s="205"/>
      <c r="I459" s="160" t="s">
        <v>31</v>
      </c>
      <c r="J459" s="170" t="e">
        <f>SUM(J457:J457)</f>
        <v>#REF!</v>
      </c>
      <c r="K459" s="159" t="s">
        <v>13</v>
      </c>
      <c r="L459" s="161" t="e">
        <f>#REF!</f>
        <v>#REF!</v>
      </c>
      <c r="M459" s="158" t="e">
        <f t="shared" ref="M459:M462" si="163">J459*L459</f>
        <v>#REF!</v>
      </c>
    </row>
    <row r="460" spans="1:13" ht="14.45" customHeight="1">
      <c r="A460" s="205"/>
      <c r="B460" s="160" t="s">
        <v>880</v>
      </c>
      <c r="C460" s="170">
        <f>1/(0.3*0.4)</f>
        <v>8.3333333333333339</v>
      </c>
      <c r="D460" s="159" t="s">
        <v>36</v>
      </c>
      <c r="E460" s="161" t="e">
        <f>E447</f>
        <v>#REF!</v>
      </c>
      <c r="F460" s="158" t="e">
        <f t="shared" si="162"/>
        <v>#REF!</v>
      </c>
      <c r="H460" s="205"/>
      <c r="I460" s="160" t="s">
        <v>880</v>
      </c>
      <c r="J460" s="170">
        <f>1/(0.3*0.4)</f>
        <v>8.3333333333333339</v>
      </c>
      <c r="K460" s="159" t="s">
        <v>36</v>
      </c>
      <c r="L460" s="161" t="e">
        <f>L447</f>
        <v>#REF!</v>
      </c>
      <c r="M460" s="158" t="e">
        <f t="shared" si="163"/>
        <v>#REF!</v>
      </c>
    </row>
    <row r="461" spans="1:13">
      <c r="A461" s="205"/>
      <c r="B461" s="160" t="s">
        <v>47</v>
      </c>
      <c r="C461" s="170">
        <v>1</v>
      </c>
      <c r="D461" s="159" t="s">
        <v>25</v>
      </c>
      <c r="E461" s="161" t="e">
        <f t="shared" ref="E461:E462" si="164">E448</f>
        <v>#REF!</v>
      </c>
      <c r="F461" s="158" t="e">
        <f t="shared" si="162"/>
        <v>#REF!</v>
      </c>
      <c r="H461" s="205"/>
      <c r="I461" s="160" t="s">
        <v>47</v>
      </c>
      <c r="J461" s="170">
        <v>1</v>
      </c>
      <c r="K461" s="159" t="s">
        <v>25</v>
      </c>
      <c r="L461" s="161" t="e">
        <f t="shared" ref="L461:L462" si="165">L448</f>
        <v>#REF!</v>
      </c>
      <c r="M461" s="158" t="e">
        <f t="shared" si="163"/>
        <v>#REF!</v>
      </c>
    </row>
    <row r="462" spans="1:13">
      <c r="A462" s="205"/>
      <c r="B462" s="160" t="s">
        <v>7</v>
      </c>
      <c r="C462" s="170" t="e">
        <f>SUM(F456:F458)</f>
        <v>#REF!</v>
      </c>
      <c r="D462" s="159" t="s">
        <v>8</v>
      </c>
      <c r="E462" s="161" t="e">
        <f t="shared" si="164"/>
        <v>#REF!</v>
      </c>
      <c r="F462" s="158" t="e">
        <f t="shared" si="162"/>
        <v>#REF!</v>
      </c>
      <c r="H462" s="205"/>
      <c r="I462" s="160" t="s">
        <v>7</v>
      </c>
      <c r="J462" s="170" t="e">
        <f>SUM(M456:M458)</f>
        <v>#REF!</v>
      </c>
      <c r="K462" s="159" t="s">
        <v>8</v>
      </c>
      <c r="L462" s="161" t="e">
        <f t="shared" si="165"/>
        <v>#REF!</v>
      </c>
      <c r="M462" s="158" t="e">
        <f t="shared" si="163"/>
        <v>#REF!</v>
      </c>
    </row>
    <row r="463" spans="1:13">
      <c r="A463" s="205"/>
      <c r="B463" s="201"/>
      <c r="C463" s="219"/>
      <c r="D463" s="427"/>
      <c r="E463" s="208"/>
      <c r="F463" s="209"/>
      <c r="H463" s="205"/>
      <c r="I463" s="201"/>
      <c r="J463" s="219"/>
      <c r="K463" s="427"/>
      <c r="L463" s="208"/>
      <c r="M463" s="209"/>
    </row>
    <row r="464" spans="1:13">
      <c r="A464" s="205"/>
      <c r="B464" s="210"/>
      <c r="C464" s="207"/>
      <c r="D464" s="428"/>
      <c r="E464" s="208"/>
      <c r="F464" s="209"/>
      <c r="H464" s="205"/>
      <c r="I464" s="210"/>
      <c r="J464" s="207"/>
      <c r="K464" s="428"/>
      <c r="L464" s="208"/>
      <c r="M464" s="209"/>
    </row>
    <row r="465" spans="1:13">
      <c r="A465" s="198"/>
      <c r="B465" s="198" t="s">
        <v>548</v>
      </c>
      <c r="C465" s="199"/>
      <c r="D465" s="426"/>
      <c r="E465" s="199"/>
      <c r="F465" s="197" t="e">
        <f>SUM(F456:F464)</f>
        <v>#REF!</v>
      </c>
      <c r="H465" s="198"/>
      <c r="I465" s="198" t="s">
        <v>548</v>
      </c>
      <c r="J465" s="199"/>
      <c r="K465" s="426"/>
      <c r="L465" s="199"/>
      <c r="M465" s="197" t="e">
        <f>SUM(M456:M464)</f>
        <v>#REF!</v>
      </c>
    </row>
    <row r="466" spans="1:13">
      <c r="A466" s="212"/>
      <c r="B466" s="212"/>
      <c r="C466" s="212"/>
      <c r="D466" s="432"/>
      <c r="E466" s="212"/>
      <c r="F466" s="212"/>
      <c r="H466" s="212"/>
      <c r="I466" s="212"/>
      <c r="J466" s="212"/>
      <c r="K466" s="432"/>
      <c r="L466" s="212"/>
      <c r="M466" s="212"/>
    </row>
    <row r="467" spans="1:13">
      <c r="A467" s="199"/>
      <c r="B467" s="364" t="s">
        <v>827</v>
      </c>
      <c r="C467" s="199" t="s">
        <v>592</v>
      </c>
      <c r="D467" s="426"/>
      <c r="E467" s="199"/>
      <c r="F467" s="199"/>
      <c r="H467" s="199"/>
      <c r="I467" s="364" t="s">
        <v>824</v>
      </c>
      <c r="J467" s="199" t="s">
        <v>592</v>
      </c>
      <c r="K467" s="426"/>
      <c r="L467" s="199"/>
      <c r="M467" s="199"/>
    </row>
    <row r="468" spans="1:13">
      <c r="A468" s="213"/>
      <c r="B468" s="214"/>
      <c r="C468" s="214"/>
      <c r="D468" s="429"/>
      <c r="E468" s="214"/>
      <c r="F468" s="215"/>
      <c r="H468" s="213"/>
      <c r="I468" s="214"/>
      <c r="J468" s="214"/>
      <c r="K468" s="429"/>
      <c r="L468" s="214"/>
      <c r="M468" s="215"/>
    </row>
    <row r="469" spans="1:13">
      <c r="A469" s="205"/>
      <c r="B469" s="219" t="s">
        <v>593</v>
      </c>
      <c r="C469" s="219">
        <v>1.05</v>
      </c>
      <c r="D469" s="427" t="s">
        <v>25</v>
      </c>
      <c r="E469" s="208" t="e">
        <f>E456</f>
        <v>#REF!</v>
      </c>
      <c r="F469" s="209" t="e">
        <f t="shared" ref="F469:F471" si="166">+C469*E469</f>
        <v>#REF!</v>
      </c>
      <c r="H469" s="205"/>
      <c r="I469" s="219" t="s">
        <v>593</v>
      </c>
      <c r="J469" s="219">
        <v>1.05</v>
      </c>
      <c r="K469" s="427" t="s">
        <v>25</v>
      </c>
      <c r="L469" s="208" t="e">
        <f>+L456</f>
        <v>#REF!</v>
      </c>
      <c r="M469" s="209" t="e">
        <f t="shared" ref="M469:M471" si="167">+J469*L469</f>
        <v>#REF!</v>
      </c>
    </row>
    <row r="470" spans="1:13">
      <c r="A470" s="205"/>
      <c r="B470" s="219" t="s">
        <v>43</v>
      </c>
      <c r="C470" s="219" t="e">
        <f>C457</f>
        <v>#REF!</v>
      </c>
      <c r="D470" s="427" t="s">
        <v>13</v>
      </c>
      <c r="E470" s="208" t="e">
        <f t="shared" ref="E470:E471" si="168">E457</f>
        <v>#REF!</v>
      </c>
      <c r="F470" s="209" t="e">
        <f t="shared" si="166"/>
        <v>#REF!</v>
      </c>
      <c r="H470" s="205"/>
      <c r="I470" s="219" t="s">
        <v>43</v>
      </c>
      <c r="J470" s="219" t="e">
        <f>J457</f>
        <v>#REF!</v>
      </c>
      <c r="K470" s="427" t="s">
        <v>13</v>
      </c>
      <c r="L470" s="216" t="e">
        <f>+L457</f>
        <v>#REF!</v>
      </c>
      <c r="M470" s="209" t="e">
        <f t="shared" si="167"/>
        <v>#REF!</v>
      </c>
    </row>
    <row r="471" spans="1:13">
      <c r="A471" s="205"/>
      <c r="B471" s="201" t="s">
        <v>14</v>
      </c>
      <c r="C471" s="219" t="e">
        <f>SUM(C470)*2</f>
        <v>#REF!</v>
      </c>
      <c r="D471" s="427" t="s">
        <v>15</v>
      </c>
      <c r="E471" s="208" t="e">
        <f t="shared" si="168"/>
        <v>#REF!</v>
      </c>
      <c r="F471" s="209" t="e">
        <f t="shared" si="166"/>
        <v>#REF!</v>
      </c>
      <c r="H471" s="205"/>
      <c r="I471" s="201" t="s">
        <v>14</v>
      </c>
      <c r="J471" s="219" t="e">
        <f>SUM(J470)*2</f>
        <v>#REF!</v>
      </c>
      <c r="K471" s="427" t="s">
        <v>15</v>
      </c>
      <c r="L471" s="208">
        <v>52</v>
      </c>
      <c r="M471" s="209" t="e">
        <f t="shared" si="167"/>
        <v>#REF!</v>
      </c>
    </row>
    <row r="472" spans="1:13">
      <c r="A472" s="205"/>
      <c r="B472" s="160" t="s">
        <v>31</v>
      </c>
      <c r="C472" s="170" t="e">
        <f>SUM(C470:C470)</f>
        <v>#REF!</v>
      </c>
      <c r="D472" s="159" t="s">
        <v>13</v>
      </c>
      <c r="E472" s="161" t="e">
        <f>#REF!</f>
        <v>#REF!</v>
      </c>
      <c r="F472" s="158" t="e">
        <f t="shared" ref="F472:F475" si="169">C472*E472</f>
        <v>#REF!</v>
      </c>
      <c r="H472" s="205"/>
      <c r="I472" s="160" t="s">
        <v>31</v>
      </c>
      <c r="J472" s="170" t="e">
        <f>SUM(J470:J470)</f>
        <v>#REF!</v>
      </c>
      <c r="K472" s="159" t="s">
        <v>13</v>
      </c>
      <c r="L472" s="161" t="e">
        <f>#REF!</f>
        <v>#REF!</v>
      </c>
      <c r="M472" s="158" t="e">
        <f t="shared" ref="M472:M475" si="170">J472*L472</f>
        <v>#REF!</v>
      </c>
    </row>
    <row r="473" spans="1:13">
      <c r="A473" s="205"/>
      <c r="B473" s="160" t="s">
        <v>880</v>
      </c>
      <c r="C473" s="170">
        <f>1/(0.3*0.4)</f>
        <v>8.3333333333333339</v>
      </c>
      <c r="D473" s="159" t="s">
        <v>36</v>
      </c>
      <c r="E473" s="161" t="e">
        <f>E460</f>
        <v>#REF!</v>
      </c>
      <c r="F473" s="158" t="e">
        <f t="shared" si="169"/>
        <v>#REF!</v>
      </c>
      <c r="H473" s="205"/>
      <c r="I473" s="160" t="s">
        <v>880</v>
      </c>
      <c r="J473" s="170">
        <f>1/(0.3*0.4)</f>
        <v>8.3333333333333339</v>
      </c>
      <c r="K473" s="159" t="s">
        <v>36</v>
      </c>
      <c r="L473" s="161" t="e">
        <f>L460</f>
        <v>#REF!</v>
      </c>
      <c r="M473" s="158" t="e">
        <f t="shared" si="170"/>
        <v>#REF!</v>
      </c>
    </row>
    <row r="474" spans="1:13">
      <c r="A474" s="205"/>
      <c r="B474" s="160" t="s">
        <v>47</v>
      </c>
      <c r="C474" s="170">
        <v>1</v>
      </c>
      <c r="D474" s="159" t="s">
        <v>25</v>
      </c>
      <c r="E474" s="161" t="e">
        <f t="shared" ref="E474:E475" si="171">E461</f>
        <v>#REF!</v>
      </c>
      <c r="F474" s="158" t="e">
        <f t="shared" si="169"/>
        <v>#REF!</v>
      </c>
      <c r="H474" s="205"/>
      <c r="I474" s="160" t="s">
        <v>47</v>
      </c>
      <c r="J474" s="170">
        <v>1</v>
      </c>
      <c r="K474" s="159" t="s">
        <v>25</v>
      </c>
      <c r="L474" s="161" t="e">
        <f t="shared" ref="L474:L475" si="172">L461</f>
        <v>#REF!</v>
      </c>
      <c r="M474" s="158" t="e">
        <f t="shared" si="170"/>
        <v>#REF!</v>
      </c>
    </row>
    <row r="475" spans="1:13">
      <c r="A475" s="205"/>
      <c r="B475" s="160" t="s">
        <v>7</v>
      </c>
      <c r="C475" s="170" t="e">
        <f>SUM(F469:F471)</f>
        <v>#REF!</v>
      </c>
      <c r="D475" s="159" t="s">
        <v>8</v>
      </c>
      <c r="E475" s="161" t="e">
        <f t="shared" si="171"/>
        <v>#REF!</v>
      </c>
      <c r="F475" s="158" t="e">
        <f t="shared" si="169"/>
        <v>#REF!</v>
      </c>
      <c r="H475" s="205"/>
      <c r="I475" s="160" t="s">
        <v>7</v>
      </c>
      <c r="J475" s="170" t="e">
        <f>SUM(M469:M471)</f>
        <v>#REF!</v>
      </c>
      <c r="K475" s="159" t="s">
        <v>8</v>
      </c>
      <c r="L475" s="161" t="e">
        <f t="shared" si="172"/>
        <v>#REF!</v>
      </c>
      <c r="M475" s="158" t="e">
        <f t="shared" si="170"/>
        <v>#REF!</v>
      </c>
    </row>
    <row r="476" spans="1:13">
      <c r="A476" s="205"/>
      <c r="B476" s="201"/>
      <c r="C476" s="219"/>
      <c r="D476" s="427"/>
      <c r="E476" s="208"/>
      <c r="F476" s="209"/>
      <c r="H476" s="205"/>
      <c r="I476" s="201"/>
      <c r="J476" s="219"/>
      <c r="K476" s="427"/>
      <c r="L476" s="208"/>
      <c r="M476" s="209"/>
    </row>
    <row r="477" spans="1:13">
      <c r="A477" s="205"/>
      <c r="B477" s="210"/>
      <c r="C477" s="207"/>
      <c r="D477" s="428"/>
      <c r="E477" s="208"/>
      <c r="F477" s="209"/>
      <c r="H477" s="205"/>
      <c r="I477" s="210"/>
      <c r="J477" s="207"/>
      <c r="K477" s="428"/>
      <c r="L477" s="208"/>
      <c r="M477" s="209"/>
    </row>
    <row r="478" spans="1:13">
      <c r="A478" s="198"/>
      <c r="B478" s="198" t="s">
        <v>548</v>
      </c>
      <c r="C478" s="199"/>
      <c r="D478" s="426"/>
      <c r="E478" s="199"/>
      <c r="F478" s="197" t="e">
        <f>SUM(F469:F477)</f>
        <v>#REF!</v>
      </c>
      <c r="H478" s="198"/>
      <c r="I478" s="198" t="s">
        <v>548</v>
      </c>
      <c r="J478" s="199"/>
      <c r="K478" s="426"/>
      <c r="L478" s="199"/>
      <c r="M478" s="197" t="e">
        <f>SUM(M469:M477)</f>
        <v>#REF!</v>
      </c>
    </row>
    <row r="479" spans="1:13">
      <c r="A479" s="212"/>
      <c r="B479" s="212"/>
      <c r="C479" s="212"/>
      <c r="D479" s="432"/>
      <c r="E479" s="212"/>
      <c r="F479" s="212"/>
      <c r="H479" s="212"/>
      <c r="I479" s="212"/>
      <c r="J479" s="212"/>
      <c r="K479" s="432"/>
      <c r="L479" s="212"/>
      <c r="M479" s="212"/>
    </row>
    <row r="480" spans="1:13">
      <c r="A480" s="199"/>
      <c r="B480" s="364" t="s">
        <v>828</v>
      </c>
      <c r="C480" s="199" t="s">
        <v>592</v>
      </c>
      <c r="D480" s="426"/>
      <c r="E480" s="199"/>
      <c r="F480" s="199"/>
      <c r="H480" s="199"/>
      <c r="I480" s="364" t="s">
        <v>825</v>
      </c>
      <c r="J480" s="199" t="s">
        <v>592</v>
      </c>
      <c r="K480" s="426"/>
      <c r="L480" s="199"/>
      <c r="M480" s="199"/>
    </row>
    <row r="481" spans="1:13">
      <c r="A481" s="213"/>
      <c r="B481" s="214"/>
      <c r="C481" s="214"/>
      <c r="D481" s="429"/>
      <c r="E481" s="214"/>
      <c r="F481" s="215"/>
      <c r="H481" s="213"/>
      <c r="I481" s="214"/>
      <c r="J481" s="214"/>
      <c r="K481" s="429"/>
      <c r="L481" s="214"/>
      <c r="M481" s="215"/>
    </row>
    <row r="482" spans="1:13">
      <c r="A482" s="205"/>
      <c r="B482" s="219" t="s">
        <v>593</v>
      </c>
      <c r="C482" s="219">
        <v>1.05</v>
      </c>
      <c r="D482" s="427" t="s">
        <v>25</v>
      </c>
      <c r="E482" s="208" t="e">
        <f>E469</f>
        <v>#REF!</v>
      </c>
      <c r="F482" s="209" t="e">
        <f t="shared" ref="F482:F484" si="173">+C482*E482</f>
        <v>#REF!</v>
      </c>
      <c r="H482" s="205"/>
      <c r="I482" s="219" t="s">
        <v>593</v>
      </c>
      <c r="J482" s="219">
        <v>1.05</v>
      </c>
      <c r="K482" s="427" t="s">
        <v>25</v>
      </c>
      <c r="L482" s="208" t="e">
        <f>+L469</f>
        <v>#REF!</v>
      </c>
      <c r="M482" s="209" t="e">
        <f t="shared" ref="M482:M484" si="174">+J482*L482</f>
        <v>#REF!</v>
      </c>
    </row>
    <row r="483" spans="1:13">
      <c r="A483" s="205"/>
      <c r="B483" s="219" t="s">
        <v>43</v>
      </c>
      <c r="C483" s="219" t="e">
        <f>+#REF!</f>
        <v>#REF!</v>
      </c>
      <c r="D483" s="427" t="s">
        <v>13</v>
      </c>
      <c r="E483" s="208" t="e">
        <f t="shared" ref="E483:E484" si="175">E470</f>
        <v>#REF!</v>
      </c>
      <c r="F483" s="209" t="e">
        <f t="shared" si="173"/>
        <v>#REF!</v>
      </c>
      <c r="H483" s="205"/>
      <c r="I483" s="219" t="s">
        <v>43</v>
      </c>
      <c r="J483" s="219" t="e">
        <f>J470</f>
        <v>#REF!</v>
      </c>
      <c r="K483" s="427" t="s">
        <v>13</v>
      </c>
      <c r="L483" s="216" t="e">
        <f>+L470</f>
        <v>#REF!</v>
      </c>
      <c r="M483" s="209" t="e">
        <f t="shared" si="174"/>
        <v>#REF!</v>
      </c>
    </row>
    <row r="484" spans="1:13">
      <c r="A484" s="205"/>
      <c r="B484" s="201" t="s">
        <v>14</v>
      </c>
      <c r="C484" s="219" t="e">
        <f>SUM(C483)*2</f>
        <v>#REF!</v>
      </c>
      <c r="D484" s="427" t="s">
        <v>15</v>
      </c>
      <c r="E484" s="208" t="e">
        <f t="shared" si="175"/>
        <v>#REF!</v>
      </c>
      <c r="F484" s="209" t="e">
        <f t="shared" si="173"/>
        <v>#REF!</v>
      </c>
      <c r="H484" s="205"/>
      <c r="I484" s="201" t="s">
        <v>14</v>
      </c>
      <c r="J484" s="219" t="e">
        <f>SUM(J483)*2</f>
        <v>#REF!</v>
      </c>
      <c r="K484" s="427" t="s">
        <v>15</v>
      </c>
      <c r="L484" s="208">
        <v>52</v>
      </c>
      <c r="M484" s="209" t="e">
        <f t="shared" si="174"/>
        <v>#REF!</v>
      </c>
    </row>
    <row r="485" spans="1:13">
      <c r="A485" s="205"/>
      <c r="B485" s="160" t="s">
        <v>31</v>
      </c>
      <c r="C485" s="170" t="e">
        <f>SUM(C483:C483)</f>
        <v>#REF!</v>
      </c>
      <c r="D485" s="159" t="s">
        <v>13</v>
      </c>
      <c r="E485" s="161" t="e">
        <f>#REF!</f>
        <v>#REF!</v>
      </c>
      <c r="F485" s="158" t="e">
        <f t="shared" ref="F485:F488" si="176">C485*E485</f>
        <v>#REF!</v>
      </c>
      <c r="H485" s="205"/>
      <c r="I485" s="160" t="s">
        <v>31</v>
      </c>
      <c r="J485" s="170" t="e">
        <f>SUM(J483:J483)</f>
        <v>#REF!</v>
      </c>
      <c r="K485" s="159" t="s">
        <v>13</v>
      </c>
      <c r="L485" s="161" t="e">
        <f>#REF!</f>
        <v>#REF!</v>
      </c>
      <c r="M485" s="158" t="e">
        <f t="shared" ref="M485:M488" si="177">J485*L485</f>
        <v>#REF!</v>
      </c>
    </row>
    <row r="486" spans="1:13">
      <c r="A486" s="205"/>
      <c r="B486" s="160" t="s">
        <v>880</v>
      </c>
      <c r="C486" s="170">
        <f>1/(0.3*0.4)</f>
        <v>8.3333333333333339</v>
      </c>
      <c r="D486" s="159" t="s">
        <v>36</v>
      </c>
      <c r="E486" s="161" t="e">
        <f>E473</f>
        <v>#REF!</v>
      </c>
      <c r="F486" s="158" t="e">
        <f t="shared" si="176"/>
        <v>#REF!</v>
      </c>
      <c r="H486" s="205"/>
      <c r="I486" s="160" t="s">
        <v>880</v>
      </c>
      <c r="J486" s="170">
        <f>1/(0.3*0.4)</f>
        <v>8.3333333333333339</v>
      </c>
      <c r="K486" s="159" t="s">
        <v>36</v>
      </c>
      <c r="L486" s="161" t="e">
        <f>L473</f>
        <v>#REF!</v>
      </c>
      <c r="M486" s="158" t="e">
        <f t="shared" si="177"/>
        <v>#REF!</v>
      </c>
    </row>
    <row r="487" spans="1:13">
      <c r="A487" s="205"/>
      <c r="B487" s="160" t="s">
        <v>47</v>
      </c>
      <c r="C487" s="170">
        <v>1</v>
      </c>
      <c r="D487" s="159" t="s">
        <v>25</v>
      </c>
      <c r="E487" s="161" t="e">
        <f t="shared" ref="E487:E488" si="178">E474</f>
        <v>#REF!</v>
      </c>
      <c r="F487" s="158" t="e">
        <f t="shared" si="176"/>
        <v>#REF!</v>
      </c>
      <c r="H487" s="205"/>
      <c r="I487" s="160" t="s">
        <v>47</v>
      </c>
      <c r="J487" s="170">
        <v>1</v>
      </c>
      <c r="K487" s="159" t="s">
        <v>25</v>
      </c>
      <c r="L487" s="161" t="e">
        <f t="shared" ref="L487:L488" si="179">L474</f>
        <v>#REF!</v>
      </c>
      <c r="M487" s="158" t="e">
        <f t="shared" si="177"/>
        <v>#REF!</v>
      </c>
    </row>
    <row r="488" spans="1:13">
      <c r="A488" s="205"/>
      <c r="B488" s="160" t="s">
        <v>7</v>
      </c>
      <c r="C488" s="170" t="e">
        <f>SUM(F482:F484)</f>
        <v>#REF!</v>
      </c>
      <c r="D488" s="159" t="s">
        <v>8</v>
      </c>
      <c r="E488" s="161" t="e">
        <f t="shared" si="178"/>
        <v>#REF!</v>
      </c>
      <c r="F488" s="158" t="e">
        <f t="shared" si="176"/>
        <v>#REF!</v>
      </c>
      <c r="H488" s="205"/>
      <c r="I488" s="160" t="s">
        <v>7</v>
      </c>
      <c r="J488" s="170" t="e">
        <f>SUM(M482:M484)</f>
        <v>#REF!</v>
      </c>
      <c r="K488" s="159" t="s">
        <v>8</v>
      </c>
      <c r="L488" s="161" t="e">
        <f t="shared" si="179"/>
        <v>#REF!</v>
      </c>
      <c r="M488" s="158" t="e">
        <f t="shared" si="177"/>
        <v>#REF!</v>
      </c>
    </row>
    <row r="489" spans="1:13">
      <c r="A489" s="205"/>
      <c r="B489" s="201"/>
      <c r="C489" s="219"/>
      <c r="D489" s="427"/>
      <c r="E489" s="208"/>
      <c r="F489" s="209"/>
      <c r="H489" s="205"/>
      <c r="I489" s="201"/>
      <c r="J489" s="219"/>
      <c r="K489" s="427"/>
      <c r="L489" s="208"/>
      <c r="M489" s="209"/>
    </row>
    <row r="490" spans="1:13">
      <c r="A490" s="205"/>
      <c r="B490" s="210"/>
      <c r="C490" s="207"/>
      <c r="D490" s="428"/>
      <c r="E490" s="208"/>
      <c r="F490" s="209"/>
      <c r="H490" s="205"/>
      <c r="I490" s="210"/>
      <c r="J490" s="207"/>
      <c r="K490" s="428"/>
      <c r="L490" s="208"/>
      <c r="M490" s="209"/>
    </row>
    <row r="491" spans="1:13">
      <c r="A491" s="198"/>
      <c r="B491" s="198" t="s">
        <v>548</v>
      </c>
      <c r="C491" s="199"/>
      <c r="D491" s="426"/>
      <c r="E491" s="199"/>
      <c r="F491" s="197" t="e">
        <f>SUM(F482:F490)</f>
        <v>#REF!</v>
      </c>
      <c r="H491" s="198"/>
      <c r="I491" s="198" t="s">
        <v>548</v>
      </c>
      <c r="J491" s="199"/>
      <c r="K491" s="426"/>
      <c r="L491" s="199"/>
      <c r="M491" s="197" t="e">
        <f>SUM(M482:M490)</f>
        <v>#REF!</v>
      </c>
    </row>
    <row r="492" spans="1:13">
      <c r="A492" s="212"/>
      <c r="B492" s="212"/>
      <c r="C492" s="212"/>
      <c r="D492" s="432"/>
      <c r="E492" s="212"/>
      <c r="F492" s="212"/>
      <c r="H492" s="212"/>
      <c r="I492" s="212"/>
      <c r="J492" s="212"/>
      <c r="K492" s="432"/>
      <c r="L492" s="212"/>
      <c r="M492" s="212"/>
    </row>
    <row r="493" spans="1:13">
      <c r="A493" s="199"/>
      <c r="B493" s="364" t="s">
        <v>829</v>
      </c>
      <c r="C493" s="199" t="s">
        <v>592</v>
      </c>
      <c r="D493" s="426"/>
      <c r="E493" s="199"/>
      <c r="F493" s="199"/>
      <c r="H493" s="199"/>
      <c r="I493" s="364" t="s">
        <v>830</v>
      </c>
      <c r="J493" s="199" t="s">
        <v>592</v>
      </c>
      <c r="K493" s="426"/>
      <c r="L493" s="199"/>
      <c r="M493" s="199"/>
    </row>
    <row r="494" spans="1:13">
      <c r="A494" s="213"/>
      <c r="B494" s="214"/>
      <c r="C494" s="214"/>
      <c r="D494" s="429"/>
      <c r="E494" s="214"/>
      <c r="F494" s="215"/>
      <c r="H494" s="213"/>
      <c r="I494" s="214"/>
      <c r="J494" s="214"/>
      <c r="K494" s="429"/>
      <c r="L494" s="214"/>
      <c r="M494" s="215"/>
    </row>
    <row r="495" spans="1:13">
      <c r="A495" s="205"/>
      <c r="B495" s="219" t="s">
        <v>593</v>
      </c>
      <c r="C495" s="219">
        <v>1.05</v>
      </c>
      <c r="D495" s="427" t="s">
        <v>25</v>
      </c>
      <c r="E495" s="208" t="e">
        <f>E482</f>
        <v>#REF!</v>
      </c>
      <c r="F495" s="209" t="e">
        <f t="shared" ref="F495:F497" si="180">+C495*E495</f>
        <v>#REF!</v>
      </c>
      <c r="H495" s="205"/>
      <c r="I495" s="219" t="s">
        <v>593</v>
      </c>
      <c r="J495" s="219">
        <v>1.05</v>
      </c>
      <c r="K495" s="427" t="s">
        <v>25</v>
      </c>
      <c r="L495" s="208" t="e">
        <f>L482</f>
        <v>#REF!</v>
      </c>
      <c r="M495" s="209" t="e">
        <f t="shared" ref="M495:M497" si="181">+J495*L495</f>
        <v>#REF!</v>
      </c>
    </row>
    <row r="496" spans="1:13">
      <c r="A496" s="205"/>
      <c r="B496" s="219" t="s">
        <v>43</v>
      </c>
      <c r="C496" s="219" t="e">
        <f>C483</f>
        <v>#REF!</v>
      </c>
      <c r="D496" s="427" t="s">
        <v>13</v>
      </c>
      <c r="E496" s="208" t="e">
        <f t="shared" ref="E496:E497" si="182">E483</f>
        <v>#REF!</v>
      </c>
      <c r="F496" s="209" t="e">
        <f t="shared" si="180"/>
        <v>#REF!</v>
      </c>
      <c r="H496" s="205"/>
      <c r="I496" s="219" t="s">
        <v>43</v>
      </c>
      <c r="J496" s="219" t="e">
        <f>#REF!</f>
        <v>#REF!</v>
      </c>
      <c r="K496" s="427" t="s">
        <v>13</v>
      </c>
      <c r="L496" s="208" t="e">
        <f t="shared" ref="L496:L497" si="183">L483</f>
        <v>#REF!</v>
      </c>
      <c r="M496" s="209" t="e">
        <f t="shared" si="181"/>
        <v>#REF!</v>
      </c>
    </row>
    <row r="497" spans="1:13">
      <c r="A497" s="205"/>
      <c r="B497" s="201" t="s">
        <v>14</v>
      </c>
      <c r="C497" s="219" t="e">
        <f>SUM(C496)*2</f>
        <v>#REF!</v>
      </c>
      <c r="D497" s="427" t="s">
        <v>15</v>
      </c>
      <c r="E497" s="208" t="e">
        <f t="shared" si="182"/>
        <v>#REF!</v>
      </c>
      <c r="F497" s="209" t="e">
        <f t="shared" si="180"/>
        <v>#REF!</v>
      </c>
      <c r="H497" s="205"/>
      <c r="I497" s="201" t="s">
        <v>14</v>
      </c>
      <c r="J497" s="219" t="e">
        <f>SUM(J496)*2</f>
        <v>#REF!</v>
      </c>
      <c r="K497" s="427" t="s">
        <v>15</v>
      </c>
      <c r="L497" s="208">
        <f t="shared" si="183"/>
        <v>52</v>
      </c>
      <c r="M497" s="209" t="e">
        <f t="shared" si="181"/>
        <v>#REF!</v>
      </c>
    </row>
    <row r="498" spans="1:13">
      <c r="A498" s="205"/>
      <c r="B498" s="160" t="s">
        <v>31</v>
      </c>
      <c r="C498" s="170" t="e">
        <f>SUM(C496:C496)</f>
        <v>#REF!</v>
      </c>
      <c r="D498" s="159" t="s">
        <v>13</v>
      </c>
      <c r="E498" s="161" t="e">
        <f>#REF!</f>
        <v>#REF!</v>
      </c>
      <c r="F498" s="158" t="e">
        <f t="shared" ref="F498:F501" si="184">C498*E498</f>
        <v>#REF!</v>
      </c>
      <c r="H498" s="205"/>
      <c r="I498" s="160" t="s">
        <v>31</v>
      </c>
      <c r="J498" s="170" t="e">
        <f>SUM(J496:J496)</f>
        <v>#REF!</v>
      </c>
      <c r="K498" s="159" t="s">
        <v>13</v>
      </c>
      <c r="L498" s="161" t="e">
        <f>#REF!</f>
        <v>#REF!</v>
      </c>
      <c r="M498" s="158" t="e">
        <f t="shared" ref="M498:M501" si="185">J498*L498</f>
        <v>#REF!</v>
      </c>
    </row>
    <row r="499" spans="1:13">
      <c r="A499" s="205"/>
      <c r="B499" s="160" t="s">
        <v>880</v>
      </c>
      <c r="C499" s="170">
        <f>1/(0.3*0.4)</f>
        <v>8.3333333333333339</v>
      </c>
      <c r="D499" s="159" t="s">
        <v>36</v>
      </c>
      <c r="E499" s="161" t="e">
        <f>E486</f>
        <v>#REF!</v>
      </c>
      <c r="F499" s="158" t="e">
        <f t="shared" si="184"/>
        <v>#REF!</v>
      </c>
      <c r="H499" s="205"/>
      <c r="I499" s="160" t="s">
        <v>875</v>
      </c>
      <c r="J499" s="170">
        <f>1/(0.2*0.35)</f>
        <v>14.285714285714286</v>
      </c>
      <c r="K499" s="159" t="s">
        <v>36</v>
      </c>
      <c r="L499" s="161" t="e">
        <f>L486</f>
        <v>#REF!</v>
      </c>
      <c r="M499" s="158" t="e">
        <f t="shared" si="185"/>
        <v>#REF!</v>
      </c>
    </row>
    <row r="500" spans="1:13">
      <c r="A500" s="205"/>
      <c r="B500" s="160" t="s">
        <v>47</v>
      </c>
      <c r="C500" s="170">
        <v>1</v>
      </c>
      <c r="D500" s="159" t="s">
        <v>25</v>
      </c>
      <c r="E500" s="161" t="e">
        <f t="shared" ref="E500:E501" si="186">E487</f>
        <v>#REF!</v>
      </c>
      <c r="F500" s="158" t="e">
        <f t="shared" si="184"/>
        <v>#REF!</v>
      </c>
      <c r="H500" s="205"/>
      <c r="I500" s="160" t="s">
        <v>47</v>
      </c>
      <c r="J500" s="170">
        <v>1</v>
      </c>
      <c r="K500" s="159" t="s">
        <v>25</v>
      </c>
      <c r="L500" s="161" t="e">
        <f t="shared" ref="L500:L501" si="187">L487</f>
        <v>#REF!</v>
      </c>
      <c r="M500" s="158" t="e">
        <f t="shared" si="185"/>
        <v>#REF!</v>
      </c>
    </row>
    <row r="501" spans="1:13">
      <c r="A501" s="205"/>
      <c r="B501" s="160" t="s">
        <v>7</v>
      </c>
      <c r="C501" s="170" t="e">
        <f>SUM(F495:F497)</f>
        <v>#REF!</v>
      </c>
      <c r="D501" s="159" t="s">
        <v>8</v>
      </c>
      <c r="E501" s="161" t="e">
        <f t="shared" si="186"/>
        <v>#REF!</v>
      </c>
      <c r="F501" s="158" t="e">
        <f t="shared" si="184"/>
        <v>#REF!</v>
      </c>
      <c r="H501" s="205"/>
      <c r="I501" s="160" t="s">
        <v>7</v>
      </c>
      <c r="J501" s="170" t="e">
        <f>SUM(M495:M497)</f>
        <v>#REF!</v>
      </c>
      <c r="K501" s="159" t="s">
        <v>8</v>
      </c>
      <c r="L501" s="161" t="e">
        <f t="shared" si="187"/>
        <v>#REF!</v>
      </c>
      <c r="M501" s="158" t="e">
        <f t="shared" si="185"/>
        <v>#REF!</v>
      </c>
    </row>
    <row r="502" spans="1:13">
      <c r="A502" s="205"/>
      <c r="B502" s="201"/>
      <c r="C502" s="219"/>
      <c r="D502" s="427"/>
      <c r="E502" s="208"/>
      <c r="F502" s="209"/>
      <c r="H502" s="205"/>
      <c r="I502" s="201"/>
      <c r="J502" s="219"/>
      <c r="K502" s="427"/>
      <c r="L502" s="208"/>
      <c r="M502" s="209"/>
    </row>
    <row r="503" spans="1:13">
      <c r="A503" s="205"/>
      <c r="B503" s="210"/>
      <c r="C503" s="207"/>
      <c r="D503" s="428"/>
      <c r="E503" s="208"/>
      <c r="F503" s="209"/>
      <c r="H503" s="205"/>
      <c r="I503" s="210"/>
      <c r="J503" s="207"/>
      <c r="K503" s="428"/>
      <c r="L503" s="208"/>
      <c r="M503" s="209"/>
    </row>
    <row r="504" spans="1:13">
      <c r="A504" s="198"/>
      <c r="B504" s="198" t="s">
        <v>548</v>
      </c>
      <c r="C504" s="199"/>
      <c r="D504" s="426"/>
      <c r="E504" s="199"/>
      <c r="F504" s="197" t="e">
        <f>SUM(F495:F503)</f>
        <v>#REF!</v>
      </c>
      <c r="H504" s="198"/>
      <c r="I504" s="198" t="s">
        <v>548</v>
      </c>
      <c r="J504" s="199"/>
      <c r="K504" s="426"/>
      <c r="L504" s="199"/>
      <c r="M504" s="197" t="e">
        <f>SUM(M495:M503)</f>
        <v>#REF!</v>
      </c>
    </row>
    <row r="505" spans="1:13">
      <c r="A505" s="212"/>
      <c r="B505" s="212"/>
      <c r="C505" s="212"/>
      <c r="D505" s="432"/>
      <c r="E505" s="212"/>
      <c r="F505" s="212"/>
      <c r="H505" s="212"/>
      <c r="I505" s="212"/>
      <c r="J505" s="212"/>
      <c r="K505" s="432"/>
      <c r="L505" s="212"/>
      <c r="M505" s="212"/>
    </row>
    <row r="506" spans="1:13">
      <c r="A506" s="199"/>
      <c r="B506" s="364" t="s">
        <v>832</v>
      </c>
      <c r="C506" s="199" t="s">
        <v>592</v>
      </c>
      <c r="D506" s="426"/>
      <c r="E506" s="199"/>
      <c r="F506" s="199"/>
      <c r="H506" s="199"/>
      <c r="I506" s="364" t="s">
        <v>831</v>
      </c>
      <c r="J506" s="199" t="s">
        <v>592</v>
      </c>
      <c r="K506" s="426"/>
      <c r="L506" s="199"/>
      <c r="M506" s="199"/>
    </row>
    <row r="507" spans="1:13">
      <c r="A507" s="213"/>
      <c r="B507" s="214"/>
      <c r="C507" s="214"/>
      <c r="D507" s="429"/>
      <c r="E507" s="214"/>
      <c r="F507" s="215"/>
      <c r="H507" s="213"/>
      <c r="I507" s="214"/>
      <c r="J507" s="214"/>
      <c r="K507" s="429"/>
      <c r="L507" s="214"/>
      <c r="M507" s="215"/>
    </row>
    <row r="508" spans="1:13">
      <c r="A508" s="205"/>
      <c r="B508" s="219" t="s">
        <v>593</v>
      </c>
      <c r="C508" s="219">
        <v>1.05</v>
      </c>
      <c r="D508" s="427" t="s">
        <v>25</v>
      </c>
      <c r="E508" s="208" t="e">
        <f>#REF!</f>
        <v>#REF!</v>
      </c>
      <c r="F508" s="209" t="e">
        <f t="shared" ref="F508:F510" si="188">+C508*E508</f>
        <v>#REF!</v>
      </c>
      <c r="H508" s="205"/>
      <c r="I508" s="219" t="s">
        <v>593</v>
      </c>
      <c r="J508" s="219">
        <v>1.05</v>
      </c>
      <c r="K508" s="427" t="s">
        <v>25</v>
      </c>
      <c r="L508" s="208" t="e">
        <f>+L456</f>
        <v>#REF!</v>
      </c>
      <c r="M508" s="209" t="e">
        <f t="shared" ref="M508:M510" si="189">+J508*L508</f>
        <v>#REF!</v>
      </c>
    </row>
    <row r="509" spans="1:13">
      <c r="A509" s="205"/>
      <c r="B509" s="219" t="s">
        <v>43</v>
      </c>
      <c r="C509" s="219" t="e">
        <f>+#REF!</f>
        <v>#REF!</v>
      </c>
      <c r="D509" s="427" t="s">
        <v>13</v>
      </c>
      <c r="E509" s="208" t="e">
        <f>#REF!</f>
        <v>#REF!</v>
      </c>
      <c r="F509" s="209" t="e">
        <f t="shared" si="188"/>
        <v>#REF!</v>
      </c>
      <c r="H509" s="205"/>
      <c r="I509" s="219" t="s">
        <v>43</v>
      </c>
      <c r="J509" s="219" t="e">
        <f>J496</f>
        <v>#REF!</v>
      </c>
      <c r="K509" s="427" t="s">
        <v>13</v>
      </c>
      <c r="L509" s="216" t="e">
        <f>+L457</f>
        <v>#REF!</v>
      </c>
      <c r="M509" s="209" t="e">
        <f t="shared" si="189"/>
        <v>#REF!</v>
      </c>
    </row>
    <row r="510" spans="1:13">
      <c r="A510" s="205"/>
      <c r="B510" s="201" t="s">
        <v>14</v>
      </c>
      <c r="C510" s="219" t="e">
        <f>SUM(C509)*2</f>
        <v>#REF!</v>
      </c>
      <c r="D510" s="427" t="s">
        <v>15</v>
      </c>
      <c r="E510" s="208" t="e">
        <f>#REF!</f>
        <v>#REF!</v>
      </c>
      <c r="F510" s="209" t="e">
        <f t="shared" si="188"/>
        <v>#REF!</v>
      </c>
      <c r="H510" s="205"/>
      <c r="I510" s="201" t="s">
        <v>14</v>
      </c>
      <c r="J510" s="219" t="e">
        <f>SUM(J509)*2</f>
        <v>#REF!</v>
      </c>
      <c r="K510" s="427" t="s">
        <v>15</v>
      </c>
      <c r="L510" s="208">
        <v>52</v>
      </c>
      <c r="M510" s="209" t="e">
        <f t="shared" si="189"/>
        <v>#REF!</v>
      </c>
    </row>
    <row r="511" spans="1:13">
      <c r="A511" s="205"/>
      <c r="B511" s="1" t="s">
        <v>31</v>
      </c>
      <c r="C511" s="153" t="e">
        <f>C509</f>
        <v>#REF!</v>
      </c>
      <c r="D511" s="2" t="s">
        <v>36</v>
      </c>
      <c r="E511" s="5" t="e">
        <f>#REF!</f>
        <v>#REF!</v>
      </c>
      <c r="F511" s="3" t="e">
        <f t="shared" ref="F511:F514" si="190">C511*E511</f>
        <v>#REF!</v>
      </c>
      <c r="H511" s="205"/>
      <c r="I511" s="160" t="s">
        <v>31</v>
      </c>
      <c r="J511" s="170" t="e">
        <f>SUM(J509:J509)</f>
        <v>#REF!</v>
      </c>
      <c r="K511" s="159" t="s">
        <v>13</v>
      </c>
      <c r="L511" s="161" t="e">
        <f>#REF!</f>
        <v>#REF!</v>
      </c>
      <c r="M511" s="158" t="e">
        <f t="shared" ref="M511:M514" si="191">J511*L511</f>
        <v>#REF!</v>
      </c>
    </row>
    <row r="512" spans="1:13">
      <c r="A512" s="205"/>
      <c r="B512" s="1" t="s">
        <v>873</v>
      </c>
      <c r="C512" s="153">
        <f>1/(0.3*0.2)</f>
        <v>16.666666666666668</v>
      </c>
      <c r="D512" s="2" t="s">
        <v>36</v>
      </c>
      <c r="E512" s="5">
        <v>300</v>
      </c>
      <c r="F512" s="3">
        <f t="shared" si="190"/>
        <v>5000</v>
      </c>
      <c r="H512" s="205"/>
      <c r="I512" s="160" t="s">
        <v>875</v>
      </c>
      <c r="J512" s="170">
        <f>1/(0.2*0.35)</f>
        <v>14.285714285714286</v>
      </c>
      <c r="K512" s="159" t="s">
        <v>36</v>
      </c>
      <c r="L512" s="161" t="e">
        <f>L499</f>
        <v>#REF!</v>
      </c>
      <c r="M512" s="158" t="e">
        <f t="shared" si="191"/>
        <v>#REF!</v>
      </c>
    </row>
    <row r="513" spans="1:13">
      <c r="A513" s="205"/>
      <c r="B513" s="1" t="s">
        <v>44</v>
      </c>
      <c r="C513" s="153">
        <v>1</v>
      </c>
      <c r="D513" s="2" t="s">
        <v>25</v>
      </c>
      <c r="E513" s="5" t="e">
        <f>#REF!</f>
        <v>#REF!</v>
      </c>
      <c r="F513" s="3" t="e">
        <f t="shared" si="190"/>
        <v>#REF!</v>
      </c>
      <c r="H513" s="205"/>
      <c r="I513" s="160" t="s">
        <v>47</v>
      </c>
      <c r="J513" s="170">
        <v>1</v>
      </c>
      <c r="K513" s="159" t="s">
        <v>25</v>
      </c>
      <c r="L513" s="161" t="e">
        <f t="shared" ref="L513:L514" si="192">L500</f>
        <v>#REF!</v>
      </c>
      <c r="M513" s="158" t="e">
        <f t="shared" si="191"/>
        <v>#REF!</v>
      </c>
    </row>
    <row r="514" spans="1:13">
      <c r="A514" s="205"/>
      <c r="B514" s="1" t="s">
        <v>7</v>
      </c>
      <c r="C514" s="153" t="e">
        <f>SUM(F508:F510)</f>
        <v>#REF!</v>
      </c>
      <c r="D514" s="2" t="s">
        <v>8</v>
      </c>
      <c r="E514" s="5" t="e">
        <f>#REF!</f>
        <v>#REF!</v>
      </c>
      <c r="F514" s="3" t="e">
        <f t="shared" si="190"/>
        <v>#REF!</v>
      </c>
      <c r="H514" s="205"/>
      <c r="I514" s="160" t="s">
        <v>7</v>
      </c>
      <c r="J514" s="170" t="e">
        <f>SUM(M508:M510)</f>
        <v>#REF!</v>
      </c>
      <c r="K514" s="159" t="s">
        <v>8</v>
      </c>
      <c r="L514" s="161" t="e">
        <f t="shared" si="192"/>
        <v>#REF!</v>
      </c>
      <c r="M514" s="158" t="e">
        <f t="shared" si="191"/>
        <v>#REF!</v>
      </c>
    </row>
    <row r="515" spans="1:13">
      <c r="A515" s="205"/>
      <c r="B515" s="330"/>
      <c r="C515" s="325"/>
      <c r="D515" s="326"/>
      <c r="E515" s="327"/>
      <c r="F515" s="328"/>
      <c r="H515" s="205"/>
      <c r="I515" s="201"/>
      <c r="J515" s="219"/>
      <c r="K515" s="427"/>
      <c r="L515" s="208"/>
      <c r="M515" s="209"/>
    </row>
    <row r="516" spans="1:13">
      <c r="A516" s="205"/>
      <c r="B516" s="210"/>
      <c r="C516" s="207"/>
      <c r="D516" s="428"/>
      <c r="E516" s="208"/>
      <c r="F516" s="209"/>
      <c r="H516" s="205"/>
      <c r="I516" s="210"/>
      <c r="J516" s="207"/>
      <c r="K516" s="428"/>
      <c r="L516" s="208"/>
      <c r="M516" s="209"/>
    </row>
    <row r="517" spans="1:13">
      <c r="A517" s="198"/>
      <c r="B517" s="198" t="s">
        <v>548</v>
      </c>
      <c r="C517" s="199"/>
      <c r="D517" s="426"/>
      <c r="E517" s="199"/>
      <c r="F517" s="197" t="e">
        <f>SUM(F508:F516)</f>
        <v>#REF!</v>
      </c>
      <c r="H517" s="198"/>
      <c r="I517" s="198" t="s">
        <v>548</v>
      </c>
      <c r="J517" s="199"/>
      <c r="K517" s="426"/>
      <c r="L517" s="199"/>
      <c r="M517" s="197" t="e">
        <f>SUM(M508:M516)</f>
        <v>#REF!</v>
      </c>
    </row>
    <row r="519" spans="1:13">
      <c r="A519" s="199"/>
      <c r="B519" s="364" t="s">
        <v>833</v>
      </c>
      <c r="C519" s="199" t="s">
        <v>592</v>
      </c>
      <c r="D519" s="426"/>
      <c r="E519" s="199"/>
      <c r="F519" s="199"/>
      <c r="H519" s="199"/>
      <c r="I519" s="364" t="s">
        <v>837</v>
      </c>
      <c r="J519" s="199"/>
      <c r="K519" s="426"/>
      <c r="L519" s="199"/>
      <c r="M519" s="199"/>
    </row>
    <row r="520" spans="1:13">
      <c r="A520" s="213"/>
      <c r="B520" s="214"/>
      <c r="C520" s="214"/>
      <c r="D520" s="429"/>
      <c r="E520" s="214"/>
      <c r="F520" s="215"/>
      <c r="H520" s="213"/>
      <c r="I520" s="214"/>
      <c r="J520" s="214"/>
      <c r="K520" s="429"/>
      <c r="L520" s="214"/>
      <c r="M520" s="215"/>
    </row>
    <row r="521" spans="1:13">
      <c r="A521" s="205"/>
      <c r="B521" s="219" t="s">
        <v>593</v>
      </c>
      <c r="C521" s="219">
        <v>1.05</v>
      </c>
      <c r="D521" s="427" t="s">
        <v>25</v>
      </c>
      <c r="E521" s="208" t="e">
        <f>E508</f>
        <v>#REF!</v>
      </c>
      <c r="F521" s="209" t="e">
        <f t="shared" ref="F521:F523" si="193">+C521*E521</f>
        <v>#REF!</v>
      </c>
      <c r="H521" s="205"/>
      <c r="I521" s="219" t="s">
        <v>593</v>
      </c>
      <c r="J521" s="219">
        <v>1.05</v>
      </c>
      <c r="K521" s="427" t="s">
        <v>25</v>
      </c>
      <c r="L521" s="208" t="e">
        <f>E521</f>
        <v>#REF!</v>
      </c>
      <c r="M521" s="209" t="e">
        <f t="shared" ref="M521:M523" si="194">+J521*L521</f>
        <v>#REF!</v>
      </c>
    </row>
    <row r="522" spans="1:13">
      <c r="A522" s="205"/>
      <c r="B522" s="219" t="s">
        <v>43</v>
      </c>
      <c r="C522" s="219" t="e">
        <f>C509</f>
        <v>#REF!</v>
      </c>
      <c r="D522" s="427" t="s">
        <v>13</v>
      </c>
      <c r="E522" s="208" t="e">
        <f t="shared" ref="E522:E523" si="195">E509</f>
        <v>#REF!</v>
      </c>
      <c r="F522" s="209" t="e">
        <f t="shared" si="193"/>
        <v>#REF!</v>
      </c>
      <c r="H522" s="205"/>
      <c r="I522" s="219" t="s">
        <v>43</v>
      </c>
      <c r="J522" s="219" t="e">
        <f>#REF!</f>
        <v>#REF!</v>
      </c>
      <c r="K522" s="427" t="s">
        <v>13</v>
      </c>
      <c r="L522" s="208" t="e">
        <f t="shared" ref="L522:L523" si="196">E522</f>
        <v>#REF!</v>
      </c>
      <c r="M522" s="209" t="e">
        <f t="shared" si="194"/>
        <v>#REF!</v>
      </c>
    </row>
    <row r="523" spans="1:13">
      <c r="A523" s="205"/>
      <c r="B523" s="201" t="s">
        <v>14</v>
      </c>
      <c r="C523" s="219" t="e">
        <f>SUM(C522)*2</f>
        <v>#REF!</v>
      </c>
      <c r="D523" s="427" t="s">
        <v>15</v>
      </c>
      <c r="E523" s="208" t="e">
        <f t="shared" si="195"/>
        <v>#REF!</v>
      </c>
      <c r="F523" s="209" t="e">
        <f t="shared" si="193"/>
        <v>#REF!</v>
      </c>
      <c r="H523" s="205"/>
      <c r="I523" s="201" t="s">
        <v>14</v>
      </c>
      <c r="J523" s="219" t="e">
        <f>SUM(J522)*2</f>
        <v>#REF!</v>
      </c>
      <c r="K523" s="427" t="s">
        <v>15</v>
      </c>
      <c r="L523" s="208" t="e">
        <f t="shared" si="196"/>
        <v>#REF!</v>
      </c>
      <c r="M523" s="209" t="e">
        <f t="shared" si="194"/>
        <v>#REF!</v>
      </c>
    </row>
    <row r="524" spans="1:13">
      <c r="A524" s="205"/>
      <c r="B524" s="1" t="s">
        <v>31</v>
      </c>
      <c r="C524" s="153" t="e">
        <f>C522</f>
        <v>#REF!</v>
      </c>
      <c r="D524" s="2" t="s">
        <v>36</v>
      </c>
      <c r="E524" s="5" t="e">
        <f>#REF!</f>
        <v>#REF!</v>
      </c>
      <c r="F524" s="3" t="e">
        <f t="shared" ref="F524:F527" si="197">C524*E524</f>
        <v>#REF!</v>
      </c>
      <c r="H524" s="205"/>
      <c r="I524" s="1" t="s">
        <v>31</v>
      </c>
      <c r="J524" s="153" t="e">
        <f>J522</f>
        <v>#REF!</v>
      </c>
      <c r="K524" s="2" t="s">
        <v>36</v>
      </c>
      <c r="L524" s="5" t="e">
        <f>#REF!</f>
        <v>#REF!</v>
      </c>
      <c r="M524" s="3" t="e">
        <f t="shared" ref="M524:M527" si="198">J524*L524</f>
        <v>#REF!</v>
      </c>
    </row>
    <row r="525" spans="1:13">
      <c r="A525" s="205"/>
      <c r="B525" s="1" t="s">
        <v>873</v>
      </c>
      <c r="C525" s="153">
        <f>1/(0.3*0.2)</f>
        <v>16.666666666666668</v>
      </c>
      <c r="D525" s="2" t="s">
        <v>36</v>
      </c>
      <c r="E525" s="5">
        <f>E512</f>
        <v>300</v>
      </c>
      <c r="F525" s="3">
        <f t="shared" si="197"/>
        <v>5000</v>
      </c>
      <c r="H525" s="205"/>
      <c r="I525" s="1" t="s">
        <v>874</v>
      </c>
      <c r="J525" s="153">
        <f>1/(0.3*0.15)</f>
        <v>22.222222222222221</v>
      </c>
      <c r="K525" s="2" t="s">
        <v>36</v>
      </c>
      <c r="L525" s="5">
        <v>300</v>
      </c>
      <c r="M525" s="3">
        <f t="shared" si="198"/>
        <v>6666.6666666666661</v>
      </c>
    </row>
    <row r="526" spans="1:13">
      <c r="A526" s="205"/>
      <c r="B526" s="1" t="s">
        <v>44</v>
      </c>
      <c r="C526" s="153">
        <v>1</v>
      </c>
      <c r="D526" s="2" t="s">
        <v>25</v>
      </c>
      <c r="E526" s="5" t="e">
        <f t="shared" ref="E526:E527" si="199">E513</f>
        <v>#REF!</v>
      </c>
      <c r="F526" s="3" t="e">
        <f t="shared" si="197"/>
        <v>#REF!</v>
      </c>
      <c r="H526" s="205"/>
      <c r="I526" s="1" t="s">
        <v>44</v>
      </c>
      <c r="J526" s="153">
        <v>1</v>
      </c>
      <c r="K526" s="2" t="s">
        <v>25</v>
      </c>
      <c r="L526" s="5" t="e">
        <f>E526</f>
        <v>#REF!</v>
      </c>
      <c r="M526" s="3" t="e">
        <f t="shared" si="198"/>
        <v>#REF!</v>
      </c>
    </row>
    <row r="527" spans="1:13">
      <c r="A527" s="205"/>
      <c r="B527" s="1" t="s">
        <v>7</v>
      </c>
      <c r="C527" s="153" t="e">
        <f>SUM(F521:F523)</f>
        <v>#REF!</v>
      </c>
      <c r="D527" s="2" t="s">
        <v>8</v>
      </c>
      <c r="E527" s="5" t="e">
        <f t="shared" si="199"/>
        <v>#REF!</v>
      </c>
      <c r="F527" s="3" t="e">
        <f t="shared" si="197"/>
        <v>#REF!</v>
      </c>
      <c r="H527" s="205"/>
      <c r="I527" s="1" t="s">
        <v>7</v>
      </c>
      <c r="J527" s="153" t="e">
        <f>SUM(M521:M523)</f>
        <v>#REF!</v>
      </c>
      <c r="K527" s="2" t="s">
        <v>8</v>
      </c>
      <c r="L527" s="5" t="e">
        <f>E527</f>
        <v>#REF!</v>
      </c>
      <c r="M527" s="3" t="e">
        <f t="shared" si="198"/>
        <v>#REF!</v>
      </c>
    </row>
    <row r="528" spans="1:13">
      <c r="A528" s="205"/>
      <c r="B528" s="330"/>
      <c r="C528" s="325"/>
      <c r="D528" s="326"/>
      <c r="E528" s="327"/>
      <c r="F528" s="328"/>
      <c r="H528" s="205"/>
      <c r="I528" s="330"/>
      <c r="J528" s="325"/>
      <c r="K528" s="326"/>
      <c r="L528" s="327"/>
      <c r="M528" s="328"/>
    </row>
    <row r="529" spans="1:13">
      <c r="A529" s="205"/>
      <c r="B529" s="210"/>
      <c r="C529" s="207"/>
      <c r="D529" s="428"/>
      <c r="E529" s="208"/>
      <c r="F529" s="209"/>
      <c r="H529" s="205"/>
      <c r="I529" s="210"/>
      <c r="J529" s="207"/>
      <c r="K529" s="428"/>
      <c r="L529" s="208"/>
      <c r="M529" s="209"/>
    </row>
    <row r="530" spans="1:13">
      <c r="A530" s="198"/>
      <c r="B530" s="198" t="s">
        <v>548</v>
      </c>
      <c r="C530" s="199"/>
      <c r="D530" s="426"/>
      <c r="E530" s="199"/>
      <c r="F530" s="197" t="e">
        <f>SUM(F521:F529)</f>
        <v>#REF!</v>
      </c>
      <c r="H530" s="198"/>
      <c r="I530" s="198" t="s">
        <v>548</v>
      </c>
      <c r="J530" s="199"/>
      <c r="K530" s="426"/>
      <c r="L530" s="199"/>
      <c r="M530" s="197" t="e">
        <f>SUM(M521:M529)</f>
        <v>#REF!</v>
      </c>
    </row>
    <row r="532" spans="1:13">
      <c r="A532" s="199"/>
      <c r="B532" s="364" t="s">
        <v>834</v>
      </c>
      <c r="C532" s="199" t="s">
        <v>592</v>
      </c>
      <c r="D532" s="426"/>
      <c r="E532" s="199"/>
      <c r="F532" s="199"/>
      <c r="H532" s="199"/>
      <c r="I532" s="364" t="s">
        <v>838</v>
      </c>
      <c r="J532" s="199"/>
      <c r="K532" s="426"/>
      <c r="L532" s="199"/>
      <c r="M532" s="199"/>
    </row>
    <row r="533" spans="1:13">
      <c r="A533" s="213"/>
      <c r="B533" s="214"/>
      <c r="C533" s="214"/>
      <c r="D533" s="429"/>
      <c r="E533" s="214"/>
      <c r="F533" s="215"/>
      <c r="H533" s="213"/>
      <c r="I533" s="214"/>
      <c r="J533" s="214"/>
      <c r="K533" s="429"/>
      <c r="L533" s="214"/>
      <c r="M533" s="215"/>
    </row>
    <row r="534" spans="1:13">
      <c r="A534" s="205"/>
      <c r="B534" s="219" t="s">
        <v>593</v>
      </c>
      <c r="C534" s="219">
        <v>1.05</v>
      </c>
      <c r="D534" s="427" t="s">
        <v>25</v>
      </c>
      <c r="E534" s="208" t="e">
        <f>E521</f>
        <v>#REF!</v>
      </c>
      <c r="F534" s="209" t="e">
        <f t="shared" ref="F534:F536" si="200">+C534*E534</f>
        <v>#REF!</v>
      </c>
      <c r="H534" s="205"/>
      <c r="I534" s="219" t="s">
        <v>593</v>
      </c>
      <c r="J534" s="219">
        <v>1.05</v>
      </c>
      <c r="K534" s="427" t="s">
        <v>25</v>
      </c>
      <c r="L534" s="208" t="e">
        <f>E534</f>
        <v>#REF!</v>
      </c>
      <c r="M534" s="209" t="e">
        <f t="shared" ref="M534:M536" si="201">+J534*L534</f>
        <v>#REF!</v>
      </c>
    </row>
    <row r="535" spans="1:13">
      <c r="A535" s="205"/>
      <c r="B535" s="219" t="s">
        <v>43</v>
      </c>
      <c r="C535" s="219" t="e">
        <f>C522</f>
        <v>#REF!</v>
      </c>
      <c r="D535" s="427" t="s">
        <v>13</v>
      </c>
      <c r="E535" s="208" t="e">
        <f t="shared" ref="E535:E536" si="202">E522</f>
        <v>#REF!</v>
      </c>
      <c r="F535" s="209" t="e">
        <f t="shared" si="200"/>
        <v>#REF!</v>
      </c>
      <c r="H535" s="205"/>
      <c r="I535" s="219" t="s">
        <v>43</v>
      </c>
      <c r="J535" s="219" t="e">
        <f>J522</f>
        <v>#REF!</v>
      </c>
      <c r="K535" s="427" t="s">
        <v>13</v>
      </c>
      <c r="L535" s="208" t="e">
        <f t="shared" ref="L535:L536" si="203">E535</f>
        <v>#REF!</v>
      </c>
      <c r="M535" s="209" t="e">
        <f t="shared" si="201"/>
        <v>#REF!</v>
      </c>
    </row>
    <row r="536" spans="1:13">
      <c r="A536" s="205"/>
      <c r="B536" s="201" t="s">
        <v>14</v>
      </c>
      <c r="C536" s="219" t="e">
        <f>SUM(C535)*2</f>
        <v>#REF!</v>
      </c>
      <c r="D536" s="427" t="s">
        <v>15</v>
      </c>
      <c r="E536" s="208" t="e">
        <f t="shared" si="202"/>
        <v>#REF!</v>
      </c>
      <c r="F536" s="209" t="e">
        <f t="shared" si="200"/>
        <v>#REF!</v>
      </c>
      <c r="H536" s="205"/>
      <c r="I536" s="201" t="s">
        <v>14</v>
      </c>
      <c r="J536" s="219" t="e">
        <f>SUM(J535)*2</f>
        <v>#REF!</v>
      </c>
      <c r="K536" s="427" t="s">
        <v>15</v>
      </c>
      <c r="L536" s="208" t="e">
        <f t="shared" si="203"/>
        <v>#REF!</v>
      </c>
      <c r="M536" s="209" t="e">
        <f t="shared" si="201"/>
        <v>#REF!</v>
      </c>
    </row>
    <row r="537" spans="1:13">
      <c r="A537" s="205"/>
      <c r="B537" s="1" t="s">
        <v>31</v>
      </c>
      <c r="C537" s="153" t="e">
        <f>C535</f>
        <v>#REF!</v>
      </c>
      <c r="D537" s="2" t="s">
        <v>36</v>
      </c>
      <c r="E537" s="5" t="e">
        <f>#REF!</f>
        <v>#REF!</v>
      </c>
      <c r="F537" s="3" t="e">
        <f t="shared" ref="F537:F540" si="204">C537*E537</f>
        <v>#REF!</v>
      </c>
      <c r="H537" s="205"/>
      <c r="I537" s="1" t="s">
        <v>31</v>
      </c>
      <c r="J537" s="153" t="e">
        <f>J535</f>
        <v>#REF!</v>
      </c>
      <c r="K537" s="2" t="s">
        <v>36</v>
      </c>
      <c r="L537" s="5" t="e">
        <f>#REF!</f>
        <v>#REF!</v>
      </c>
      <c r="M537" s="3" t="e">
        <f t="shared" ref="M537:M540" si="205">J537*L537</f>
        <v>#REF!</v>
      </c>
    </row>
    <row r="538" spans="1:13">
      <c r="A538" s="205"/>
      <c r="B538" s="1" t="s">
        <v>873</v>
      </c>
      <c r="C538" s="153">
        <f>1/(0.3*0.2)</f>
        <v>16.666666666666668</v>
      </c>
      <c r="D538" s="2" t="s">
        <v>36</v>
      </c>
      <c r="E538" s="5">
        <f>E525</f>
        <v>300</v>
      </c>
      <c r="F538" s="3">
        <f t="shared" si="204"/>
        <v>5000</v>
      </c>
      <c r="H538" s="205"/>
      <c r="I538" s="1" t="s">
        <v>874</v>
      </c>
      <c r="J538" s="153">
        <f>1/(0.3*0.15)</f>
        <v>22.222222222222221</v>
      </c>
      <c r="K538" s="2" t="s">
        <v>36</v>
      </c>
      <c r="L538" s="5">
        <v>300</v>
      </c>
      <c r="M538" s="3">
        <f t="shared" si="205"/>
        <v>6666.6666666666661</v>
      </c>
    </row>
    <row r="539" spans="1:13">
      <c r="A539" s="205"/>
      <c r="B539" s="1" t="s">
        <v>44</v>
      </c>
      <c r="C539" s="153">
        <v>1</v>
      </c>
      <c r="D539" s="2" t="s">
        <v>25</v>
      </c>
      <c r="E539" s="5" t="e">
        <f t="shared" ref="E539:E540" si="206">E526</f>
        <v>#REF!</v>
      </c>
      <c r="F539" s="3" t="e">
        <f t="shared" si="204"/>
        <v>#REF!</v>
      </c>
      <c r="H539" s="205"/>
      <c r="I539" s="1" t="s">
        <v>44</v>
      </c>
      <c r="J539" s="153">
        <v>1</v>
      </c>
      <c r="K539" s="2" t="s">
        <v>25</v>
      </c>
      <c r="L539" s="5" t="e">
        <f>E539</f>
        <v>#REF!</v>
      </c>
      <c r="M539" s="3" t="e">
        <f t="shared" si="205"/>
        <v>#REF!</v>
      </c>
    </row>
    <row r="540" spans="1:13">
      <c r="A540" s="205"/>
      <c r="B540" s="1" t="s">
        <v>7</v>
      </c>
      <c r="C540" s="153" t="e">
        <f>SUM(F534:F536)</f>
        <v>#REF!</v>
      </c>
      <c r="D540" s="2" t="s">
        <v>8</v>
      </c>
      <c r="E540" s="5" t="e">
        <f t="shared" si="206"/>
        <v>#REF!</v>
      </c>
      <c r="F540" s="3" t="e">
        <f t="shared" si="204"/>
        <v>#REF!</v>
      </c>
      <c r="H540" s="205"/>
      <c r="I540" s="1" t="s">
        <v>7</v>
      </c>
      <c r="J540" s="153" t="e">
        <f>SUM(M534:M536)</f>
        <v>#REF!</v>
      </c>
      <c r="K540" s="2" t="s">
        <v>8</v>
      </c>
      <c r="L540" s="5" t="e">
        <f>E540</f>
        <v>#REF!</v>
      </c>
      <c r="M540" s="3" t="e">
        <f t="shared" si="205"/>
        <v>#REF!</v>
      </c>
    </row>
    <row r="541" spans="1:13">
      <c r="A541" s="205"/>
      <c r="B541" s="330"/>
      <c r="C541" s="325"/>
      <c r="D541" s="326"/>
      <c r="E541" s="327"/>
      <c r="F541" s="328"/>
      <c r="H541" s="205"/>
      <c r="I541" s="330"/>
      <c r="J541" s="325"/>
      <c r="K541" s="326"/>
      <c r="L541" s="327"/>
      <c r="M541" s="328"/>
    </row>
    <row r="542" spans="1:13">
      <c r="A542" s="205"/>
      <c r="B542" s="210"/>
      <c r="C542" s="207"/>
      <c r="D542" s="428"/>
      <c r="E542" s="208"/>
      <c r="F542" s="209"/>
      <c r="H542" s="205"/>
      <c r="I542" s="210"/>
      <c r="J542" s="207"/>
      <c r="K542" s="428"/>
      <c r="L542" s="208"/>
      <c r="M542" s="209"/>
    </row>
    <row r="543" spans="1:13">
      <c r="A543" s="198"/>
      <c r="B543" s="198" t="s">
        <v>548</v>
      </c>
      <c r="C543" s="199"/>
      <c r="D543" s="426"/>
      <c r="E543" s="199"/>
      <c r="F543" s="197" t="e">
        <f>SUM(F534:F542)</f>
        <v>#REF!</v>
      </c>
      <c r="H543" s="198"/>
      <c r="I543" s="198" t="s">
        <v>548</v>
      </c>
      <c r="J543" s="199"/>
      <c r="K543" s="426"/>
      <c r="L543" s="199"/>
      <c r="M543" s="197" t="e">
        <f>SUM(M534:M542)</f>
        <v>#REF!</v>
      </c>
    </row>
    <row r="545" spans="1:13">
      <c r="A545" s="199"/>
      <c r="B545" s="364" t="s">
        <v>835</v>
      </c>
      <c r="C545" s="199" t="s">
        <v>592</v>
      </c>
      <c r="D545" s="426"/>
      <c r="E545" s="199"/>
      <c r="F545" s="199"/>
      <c r="H545" s="199"/>
      <c r="I545" s="364" t="s">
        <v>836</v>
      </c>
      <c r="J545" s="199"/>
      <c r="K545" s="426"/>
      <c r="L545" s="199"/>
      <c r="M545" s="199"/>
    </row>
    <row r="546" spans="1:13">
      <c r="A546" s="213"/>
      <c r="B546" s="214"/>
      <c r="C546" s="214"/>
      <c r="D546" s="429"/>
      <c r="E546" s="214"/>
      <c r="F546" s="215"/>
      <c r="H546" s="213"/>
      <c r="I546" s="214"/>
      <c r="J546" s="214"/>
      <c r="K546" s="429"/>
      <c r="L546" s="214"/>
      <c r="M546" s="215"/>
    </row>
    <row r="547" spans="1:13">
      <c r="A547" s="205"/>
      <c r="B547" s="219" t="s">
        <v>593</v>
      </c>
      <c r="C547" s="219">
        <v>1.05</v>
      </c>
      <c r="D547" s="427" t="s">
        <v>25</v>
      </c>
      <c r="E547" s="208" t="e">
        <f>E534</f>
        <v>#REF!</v>
      </c>
      <c r="F547" s="209" t="e">
        <f t="shared" ref="F547:F549" si="207">+C547*E547</f>
        <v>#REF!</v>
      </c>
      <c r="H547" s="205"/>
      <c r="I547" s="219" t="s">
        <v>593</v>
      </c>
      <c r="J547" s="219">
        <v>1.05</v>
      </c>
      <c r="K547" s="427" t="s">
        <v>25</v>
      </c>
      <c r="L547" s="208" t="e">
        <f>E547</f>
        <v>#REF!</v>
      </c>
      <c r="M547" s="209" t="e">
        <f t="shared" ref="M547:M549" si="208">+J547*L547</f>
        <v>#REF!</v>
      </c>
    </row>
    <row r="548" spans="1:13">
      <c r="A548" s="205"/>
      <c r="B548" s="219" t="s">
        <v>43</v>
      </c>
      <c r="C548" s="219" t="e">
        <f>C535</f>
        <v>#REF!</v>
      </c>
      <c r="D548" s="427" t="s">
        <v>13</v>
      </c>
      <c r="E548" s="208" t="e">
        <f t="shared" ref="E548:E549" si="209">E535</f>
        <v>#REF!</v>
      </c>
      <c r="F548" s="209" t="e">
        <f t="shared" si="207"/>
        <v>#REF!</v>
      </c>
      <c r="H548" s="205"/>
      <c r="I548" s="219" t="s">
        <v>43</v>
      </c>
      <c r="J548" s="219" t="e">
        <f>J535</f>
        <v>#REF!</v>
      </c>
      <c r="K548" s="427" t="s">
        <v>13</v>
      </c>
      <c r="L548" s="208" t="e">
        <f t="shared" ref="L548:L549" si="210">E548</f>
        <v>#REF!</v>
      </c>
      <c r="M548" s="209" t="e">
        <f t="shared" si="208"/>
        <v>#REF!</v>
      </c>
    </row>
    <row r="549" spans="1:13">
      <c r="A549" s="205"/>
      <c r="B549" s="201" t="s">
        <v>14</v>
      </c>
      <c r="C549" s="219" t="e">
        <f>SUM(C548)*2</f>
        <v>#REF!</v>
      </c>
      <c r="D549" s="427" t="s">
        <v>15</v>
      </c>
      <c r="E549" s="208" t="e">
        <f t="shared" si="209"/>
        <v>#REF!</v>
      </c>
      <c r="F549" s="209" t="e">
        <f t="shared" si="207"/>
        <v>#REF!</v>
      </c>
      <c r="H549" s="205"/>
      <c r="I549" s="201" t="s">
        <v>14</v>
      </c>
      <c r="J549" s="219" t="e">
        <f>SUM(J548)*2</f>
        <v>#REF!</v>
      </c>
      <c r="K549" s="427" t="s">
        <v>15</v>
      </c>
      <c r="L549" s="208" t="e">
        <f t="shared" si="210"/>
        <v>#REF!</v>
      </c>
      <c r="M549" s="209" t="e">
        <f t="shared" si="208"/>
        <v>#REF!</v>
      </c>
    </row>
    <row r="550" spans="1:13">
      <c r="A550" s="205"/>
      <c r="B550" s="1" t="s">
        <v>31</v>
      </c>
      <c r="C550" s="153" t="e">
        <f>C548</f>
        <v>#REF!</v>
      </c>
      <c r="D550" s="2" t="s">
        <v>36</v>
      </c>
      <c r="E550" s="5" t="e">
        <f>#REF!</f>
        <v>#REF!</v>
      </c>
      <c r="F550" s="3" t="e">
        <f t="shared" ref="F550:F553" si="211">C550*E550</f>
        <v>#REF!</v>
      </c>
      <c r="H550" s="205"/>
      <c r="I550" s="1" t="s">
        <v>31</v>
      </c>
      <c r="J550" s="153" t="e">
        <f>J548</f>
        <v>#REF!</v>
      </c>
      <c r="K550" s="2" t="s">
        <v>36</v>
      </c>
      <c r="L550" s="5" t="e">
        <f>#REF!</f>
        <v>#REF!</v>
      </c>
      <c r="M550" s="3" t="e">
        <f t="shared" ref="M550:M553" si="212">J550*L550</f>
        <v>#REF!</v>
      </c>
    </row>
    <row r="551" spans="1:13">
      <c r="A551" s="205"/>
      <c r="B551" s="1" t="s">
        <v>873</v>
      </c>
      <c r="C551" s="153">
        <f>1/(0.3*0.2)</f>
        <v>16.666666666666668</v>
      </c>
      <c r="D551" s="2" t="s">
        <v>36</v>
      </c>
      <c r="E551" s="5">
        <f>E538</f>
        <v>300</v>
      </c>
      <c r="F551" s="3">
        <f t="shared" si="211"/>
        <v>5000</v>
      </c>
      <c r="H551" s="205"/>
      <c r="I551" s="1" t="s">
        <v>874</v>
      </c>
      <c r="J551" s="153">
        <f>1/(0.3*0.15)</f>
        <v>22.222222222222221</v>
      </c>
      <c r="K551" s="2" t="s">
        <v>36</v>
      </c>
      <c r="L551" s="5">
        <v>300</v>
      </c>
      <c r="M551" s="3">
        <f t="shared" si="212"/>
        <v>6666.6666666666661</v>
      </c>
    </row>
    <row r="552" spans="1:13">
      <c r="A552" s="205"/>
      <c r="B552" s="1" t="s">
        <v>44</v>
      </c>
      <c r="C552" s="153">
        <v>1</v>
      </c>
      <c r="D552" s="2" t="s">
        <v>25</v>
      </c>
      <c r="E552" s="5" t="e">
        <f t="shared" ref="E552:E553" si="213">E539</f>
        <v>#REF!</v>
      </c>
      <c r="F552" s="3" t="e">
        <f t="shared" si="211"/>
        <v>#REF!</v>
      </c>
      <c r="H552" s="205"/>
      <c r="I552" s="1" t="s">
        <v>44</v>
      </c>
      <c r="J552" s="153">
        <v>1</v>
      </c>
      <c r="K552" s="2" t="s">
        <v>25</v>
      </c>
      <c r="L552" s="5" t="e">
        <f>E552</f>
        <v>#REF!</v>
      </c>
      <c r="M552" s="3" t="e">
        <f t="shared" si="212"/>
        <v>#REF!</v>
      </c>
    </row>
    <row r="553" spans="1:13" ht="15" customHeight="1">
      <c r="A553" s="205"/>
      <c r="B553" s="1" t="s">
        <v>7</v>
      </c>
      <c r="C553" s="153" t="e">
        <f>SUM(F547:F549)</f>
        <v>#REF!</v>
      </c>
      <c r="D553" s="2" t="s">
        <v>8</v>
      </c>
      <c r="E553" s="5" t="e">
        <f t="shared" si="213"/>
        <v>#REF!</v>
      </c>
      <c r="F553" s="3" t="e">
        <f t="shared" si="211"/>
        <v>#REF!</v>
      </c>
      <c r="H553" s="205"/>
      <c r="I553" s="1" t="s">
        <v>7</v>
      </c>
      <c r="J553" s="153" t="e">
        <f>SUM(M547:M549)</f>
        <v>#REF!</v>
      </c>
      <c r="K553" s="2" t="s">
        <v>8</v>
      </c>
      <c r="L553" s="5" t="e">
        <f>E553</f>
        <v>#REF!</v>
      </c>
      <c r="M553" s="3" t="e">
        <f t="shared" si="212"/>
        <v>#REF!</v>
      </c>
    </row>
    <row r="554" spans="1:13">
      <c r="A554" s="205"/>
      <c r="B554" s="330"/>
      <c r="C554" s="325"/>
      <c r="D554" s="326"/>
      <c r="E554" s="327"/>
      <c r="F554" s="328"/>
      <c r="H554" s="205"/>
      <c r="I554" s="330"/>
      <c r="J554" s="325"/>
      <c r="K554" s="326"/>
      <c r="L554" s="327"/>
      <c r="M554" s="328"/>
    </row>
    <row r="555" spans="1:13">
      <c r="A555" s="205"/>
      <c r="B555" s="210"/>
      <c r="C555" s="207"/>
      <c r="D555" s="428"/>
      <c r="E555" s="208"/>
      <c r="F555" s="209"/>
      <c r="H555" s="205"/>
      <c r="I555" s="210"/>
      <c r="J555" s="207"/>
      <c r="K555" s="428"/>
      <c r="L555" s="208"/>
      <c r="M555" s="209"/>
    </row>
    <row r="556" spans="1:13">
      <c r="A556" s="198"/>
      <c r="B556" s="198" t="s">
        <v>548</v>
      </c>
      <c r="C556" s="199"/>
      <c r="D556" s="426"/>
      <c r="E556" s="199"/>
      <c r="F556" s="197" t="e">
        <f>SUM(F547:F555)</f>
        <v>#REF!</v>
      </c>
      <c r="H556" s="198"/>
      <c r="I556" s="198" t="s">
        <v>548</v>
      </c>
      <c r="J556" s="199"/>
      <c r="K556" s="426"/>
      <c r="L556" s="199"/>
      <c r="M556" s="197" t="e">
        <f>SUM(M547:M555)</f>
        <v>#REF!</v>
      </c>
    </row>
    <row r="557" spans="1:13">
      <c r="H557" s="212"/>
      <c r="I557" s="212"/>
      <c r="J557" s="212"/>
      <c r="K557" s="432"/>
      <c r="L557" s="212"/>
      <c r="M557" s="212"/>
    </row>
    <row r="558" spans="1:13">
      <c r="A558" s="199"/>
      <c r="B558" s="364" t="s">
        <v>840</v>
      </c>
      <c r="C558" s="199"/>
      <c r="D558" s="426"/>
      <c r="E558" s="199"/>
      <c r="F558" s="199"/>
      <c r="H558" s="199"/>
      <c r="I558" s="364" t="s">
        <v>839</v>
      </c>
      <c r="J558" s="199"/>
      <c r="K558" s="426"/>
      <c r="L558" s="199"/>
      <c r="M558" s="199"/>
    </row>
    <row r="559" spans="1:13">
      <c r="A559" s="213"/>
      <c r="B559" s="214"/>
      <c r="C559" s="214"/>
      <c r="D559" s="429"/>
      <c r="E559" s="214"/>
      <c r="F559" s="215"/>
      <c r="H559" s="213"/>
      <c r="I559" s="214"/>
      <c r="J559" s="214"/>
      <c r="K559" s="429"/>
      <c r="L559" s="214"/>
      <c r="M559" s="215"/>
    </row>
    <row r="560" spans="1:13">
      <c r="A560" s="205"/>
      <c r="B560" s="219" t="s">
        <v>593</v>
      </c>
      <c r="C560" s="219">
        <v>1.05</v>
      </c>
      <c r="D560" s="427" t="s">
        <v>25</v>
      </c>
      <c r="E560" s="208" t="e">
        <f>+E508</f>
        <v>#REF!</v>
      </c>
      <c r="F560" s="209" t="e">
        <f t="shared" ref="F560:F562" si="214">+C560*E560</f>
        <v>#REF!</v>
      </c>
      <c r="H560" s="205"/>
      <c r="I560" s="219" t="s">
        <v>593</v>
      </c>
      <c r="J560" s="219">
        <v>1.05</v>
      </c>
      <c r="K560" s="427" t="s">
        <v>25</v>
      </c>
      <c r="L560" s="208" t="e">
        <f>E560</f>
        <v>#REF!</v>
      </c>
      <c r="M560" s="209" t="e">
        <f t="shared" ref="M560:M562" si="215">+J560*L560</f>
        <v>#REF!</v>
      </c>
    </row>
    <row r="561" spans="1:13">
      <c r="A561" s="205"/>
      <c r="B561" s="219" t="s">
        <v>43</v>
      </c>
      <c r="C561" s="219" t="e">
        <f>+#REF!</f>
        <v>#REF!</v>
      </c>
      <c r="D561" s="427" t="s">
        <v>13</v>
      </c>
      <c r="E561" s="216" t="e">
        <f>+E509</f>
        <v>#REF!</v>
      </c>
      <c r="F561" s="209" t="e">
        <f t="shared" si="214"/>
        <v>#REF!</v>
      </c>
      <c r="H561" s="205"/>
      <c r="I561" s="219" t="s">
        <v>43</v>
      </c>
      <c r="J561" s="219" t="e">
        <f>J548</f>
        <v>#REF!</v>
      </c>
      <c r="K561" s="427" t="s">
        <v>13</v>
      </c>
      <c r="L561" s="208" t="e">
        <f t="shared" ref="L561:L562" si="216">E561</f>
        <v>#REF!</v>
      </c>
      <c r="M561" s="209" t="e">
        <f t="shared" si="215"/>
        <v>#REF!</v>
      </c>
    </row>
    <row r="562" spans="1:13">
      <c r="A562" s="205"/>
      <c r="B562" s="201" t="s">
        <v>14</v>
      </c>
      <c r="C562" s="219" t="e">
        <f>SUM(C561)*2</f>
        <v>#REF!</v>
      </c>
      <c r="D562" s="427" t="s">
        <v>15</v>
      </c>
      <c r="E562" s="208" t="e">
        <f>E784</f>
        <v>#REF!</v>
      </c>
      <c r="F562" s="209" t="e">
        <f t="shared" si="214"/>
        <v>#REF!</v>
      </c>
      <c r="H562" s="205"/>
      <c r="I562" s="201" t="s">
        <v>14</v>
      </c>
      <c r="J562" s="219" t="e">
        <f>SUM(J561)*2</f>
        <v>#REF!</v>
      </c>
      <c r="K562" s="427" t="s">
        <v>15</v>
      </c>
      <c r="L562" s="208" t="e">
        <f t="shared" si="216"/>
        <v>#REF!</v>
      </c>
      <c r="M562" s="209" t="e">
        <f t="shared" si="215"/>
        <v>#REF!</v>
      </c>
    </row>
    <row r="563" spans="1:13">
      <c r="A563" s="205"/>
      <c r="B563" s="330" t="s">
        <v>31</v>
      </c>
      <c r="C563" s="325" t="e">
        <f>C561</f>
        <v>#REF!</v>
      </c>
      <c r="D563" s="326" t="s">
        <v>36</v>
      </c>
      <c r="E563" s="327" t="e">
        <f>E553</f>
        <v>#REF!</v>
      </c>
      <c r="F563" s="328" t="e">
        <f t="shared" ref="F563:F567" si="217">C563*E563</f>
        <v>#REF!</v>
      </c>
      <c r="H563" s="205"/>
      <c r="I563" s="1" t="s">
        <v>31</v>
      </c>
      <c r="J563" s="153" t="e">
        <f>J561</f>
        <v>#REF!</v>
      </c>
      <c r="K563" s="2" t="s">
        <v>36</v>
      </c>
      <c r="L563" s="5" t="e">
        <f>#REF!</f>
        <v>#REF!</v>
      </c>
      <c r="M563" s="3" t="e">
        <f t="shared" ref="M563:M566" si="218">J563*L563</f>
        <v>#REF!</v>
      </c>
    </row>
    <row r="564" spans="1:13">
      <c r="A564" s="205"/>
      <c r="B564" s="330" t="s">
        <v>868</v>
      </c>
      <c r="C564" s="325">
        <f>1/(0.2*0.4)</f>
        <v>12.499999999999998</v>
      </c>
      <c r="D564" s="326" t="s">
        <v>36</v>
      </c>
      <c r="E564" s="327" t="e">
        <f>#REF!</f>
        <v>#REF!</v>
      </c>
      <c r="F564" s="328" t="e">
        <f t="shared" si="217"/>
        <v>#REF!</v>
      </c>
      <c r="H564" s="205"/>
      <c r="I564" s="1" t="s">
        <v>874</v>
      </c>
      <c r="J564" s="153">
        <f>1/(0.3*0.15)</f>
        <v>22.222222222222221</v>
      </c>
      <c r="K564" s="2" t="s">
        <v>36</v>
      </c>
      <c r="L564" s="5">
        <f>L551</f>
        <v>300</v>
      </c>
      <c r="M564" s="3">
        <f t="shared" si="218"/>
        <v>6666.6666666666661</v>
      </c>
    </row>
    <row r="565" spans="1:13">
      <c r="A565" s="205"/>
      <c r="B565" s="330" t="s">
        <v>670</v>
      </c>
      <c r="C565" s="325">
        <f>(0.2+0.4)*C564</f>
        <v>7.5</v>
      </c>
      <c r="D565" s="326" t="s">
        <v>11</v>
      </c>
      <c r="E565" s="327">
        <v>33.14</v>
      </c>
      <c r="F565" s="328">
        <f t="shared" si="217"/>
        <v>248.55</v>
      </c>
      <c r="H565" s="205"/>
      <c r="I565" s="1" t="s">
        <v>44</v>
      </c>
      <c r="J565" s="153">
        <v>1</v>
      </c>
      <c r="K565" s="2" t="s">
        <v>25</v>
      </c>
      <c r="L565" s="5" t="e">
        <f t="shared" ref="L565:L566" si="219">L552</f>
        <v>#REF!</v>
      </c>
      <c r="M565" s="3" t="e">
        <f t="shared" si="218"/>
        <v>#REF!</v>
      </c>
    </row>
    <row r="566" spans="1:13">
      <c r="A566" s="205"/>
      <c r="B566" s="330" t="s">
        <v>23</v>
      </c>
      <c r="C566" s="325">
        <v>1</v>
      </c>
      <c r="D566" s="326" t="s">
        <v>25</v>
      </c>
      <c r="E566" s="327" t="e">
        <f>#REF!</f>
        <v>#REF!</v>
      </c>
      <c r="F566" s="328" t="e">
        <f t="shared" si="217"/>
        <v>#REF!</v>
      </c>
      <c r="H566" s="205"/>
      <c r="I566" s="1" t="s">
        <v>7</v>
      </c>
      <c r="J566" s="153" t="e">
        <f>SUM(M560:M562)</f>
        <v>#REF!</v>
      </c>
      <c r="K566" s="2" t="s">
        <v>8</v>
      </c>
      <c r="L566" s="5" t="e">
        <f t="shared" si="219"/>
        <v>#REF!</v>
      </c>
      <c r="M566" s="3" t="e">
        <f t="shared" si="218"/>
        <v>#REF!</v>
      </c>
    </row>
    <row r="567" spans="1:13">
      <c r="A567" s="205"/>
      <c r="B567" s="330" t="s">
        <v>7</v>
      </c>
      <c r="C567" s="325" t="e">
        <f>SUM(F560:F562)</f>
        <v>#REF!</v>
      </c>
      <c r="D567" s="326" t="s">
        <v>8</v>
      </c>
      <c r="E567" s="327" t="e">
        <f>#REF!</f>
        <v>#REF!</v>
      </c>
      <c r="F567" s="328" t="e">
        <f t="shared" si="217"/>
        <v>#REF!</v>
      </c>
      <c r="H567" s="205"/>
      <c r="I567" s="330"/>
      <c r="J567" s="325"/>
      <c r="K567" s="326"/>
      <c r="L567" s="327"/>
      <c r="M567" s="328"/>
    </row>
    <row r="568" spans="1:13">
      <c r="A568" s="205"/>
      <c r="B568" s="210"/>
      <c r="C568" s="207"/>
      <c r="D568" s="428"/>
      <c r="E568" s="208"/>
      <c r="F568" s="209"/>
      <c r="H568" s="205"/>
      <c r="I568" s="210"/>
      <c r="J568" s="207"/>
      <c r="K568" s="428"/>
      <c r="L568" s="208"/>
      <c r="M568" s="209"/>
    </row>
    <row r="569" spans="1:13">
      <c r="A569" s="198"/>
      <c r="B569" s="198" t="s">
        <v>548</v>
      </c>
      <c r="C569" s="199"/>
      <c r="D569" s="426"/>
      <c r="E569" s="199"/>
      <c r="F569" s="197" t="e">
        <f>SUM(F560:F568)</f>
        <v>#REF!</v>
      </c>
      <c r="H569" s="198"/>
      <c r="I569" s="198" t="s">
        <v>548</v>
      </c>
      <c r="J569" s="199"/>
      <c r="K569" s="426"/>
      <c r="L569" s="199"/>
      <c r="M569" s="197" t="e">
        <f>SUM(M560:M568)</f>
        <v>#REF!</v>
      </c>
    </row>
    <row r="570" spans="1:13">
      <c r="H570" s="212"/>
      <c r="I570" s="212"/>
      <c r="J570" s="212"/>
      <c r="K570" s="432"/>
      <c r="L570" s="212"/>
      <c r="M570" s="212"/>
    </row>
    <row r="571" spans="1:13">
      <c r="A571" s="199"/>
      <c r="B571" s="364" t="s">
        <v>841</v>
      </c>
      <c r="C571" s="199"/>
      <c r="D571" s="426"/>
      <c r="E571" s="199"/>
      <c r="F571" s="199"/>
      <c r="H571" s="212"/>
      <c r="I571" s="212"/>
      <c r="J571" s="212"/>
      <c r="K571" s="432"/>
      <c r="L571" s="212"/>
      <c r="M571" s="212"/>
    </row>
    <row r="572" spans="1:13">
      <c r="A572" s="213"/>
      <c r="B572" s="214"/>
      <c r="C572" s="214"/>
      <c r="D572" s="429"/>
      <c r="E572" s="214"/>
      <c r="F572" s="215"/>
      <c r="H572" s="199"/>
      <c r="I572" s="364" t="s">
        <v>843</v>
      </c>
      <c r="J572" s="199"/>
      <c r="K572" s="426"/>
      <c r="L572" s="199"/>
      <c r="M572" s="199"/>
    </row>
    <row r="573" spans="1:13">
      <c r="A573" s="205"/>
      <c r="B573" s="219" t="s">
        <v>593</v>
      </c>
      <c r="C573" s="219">
        <v>1.05</v>
      </c>
      <c r="D573" s="427" t="s">
        <v>25</v>
      </c>
      <c r="E573" s="208" t="e">
        <f>E560</f>
        <v>#REF!</v>
      </c>
      <c r="F573" s="209" t="e">
        <f t="shared" ref="F573:F575" si="220">+C573*E573</f>
        <v>#REF!</v>
      </c>
      <c r="H573" s="213"/>
      <c r="I573" s="214"/>
      <c r="J573" s="214"/>
      <c r="K573" s="429"/>
      <c r="L573" s="214"/>
      <c r="M573" s="215"/>
    </row>
    <row r="574" spans="1:13" ht="15" customHeight="1">
      <c r="A574" s="205"/>
      <c r="B574" s="219" t="s">
        <v>43</v>
      </c>
      <c r="C574" s="219" t="e">
        <f>C561</f>
        <v>#REF!</v>
      </c>
      <c r="D574" s="427" t="s">
        <v>13</v>
      </c>
      <c r="E574" s="208" t="e">
        <f t="shared" ref="E574:E575" si="221">E561</f>
        <v>#REF!</v>
      </c>
      <c r="F574" s="209" t="e">
        <f t="shared" si="220"/>
        <v>#REF!</v>
      </c>
      <c r="H574" s="205"/>
      <c r="I574" s="219" t="s">
        <v>593</v>
      </c>
      <c r="J574" s="219">
        <v>1.05</v>
      </c>
      <c r="K574" s="427" t="s">
        <v>25</v>
      </c>
      <c r="L574" s="208" t="e">
        <f>E573</f>
        <v>#REF!</v>
      </c>
      <c r="M574" s="209" t="e">
        <f t="shared" ref="M574:M576" si="222">+J574*L574</f>
        <v>#REF!</v>
      </c>
    </row>
    <row r="575" spans="1:13">
      <c r="A575" s="205"/>
      <c r="B575" s="201" t="s">
        <v>14</v>
      </c>
      <c r="C575" s="219" t="e">
        <f>SUM(C574)*2</f>
        <v>#REF!</v>
      </c>
      <c r="D575" s="427" t="s">
        <v>15</v>
      </c>
      <c r="E575" s="208" t="e">
        <f t="shared" si="221"/>
        <v>#REF!</v>
      </c>
      <c r="F575" s="209" t="e">
        <f t="shared" si="220"/>
        <v>#REF!</v>
      </c>
      <c r="H575" s="205"/>
      <c r="I575" s="219" t="s">
        <v>43</v>
      </c>
      <c r="J575" s="219" t="e">
        <f>+#REF!</f>
        <v>#REF!</v>
      </c>
      <c r="K575" s="427" t="s">
        <v>13</v>
      </c>
      <c r="L575" s="208" t="e">
        <f t="shared" ref="L575:L576" si="223">E574</f>
        <v>#REF!</v>
      </c>
      <c r="M575" s="209" t="e">
        <f t="shared" si="222"/>
        <v>#REF!</v>
      </c>
    </row>
    <row r="576" spans="1:13">
      <c r="A576" s="205"/>
      <c r="B576" s="330" t="s">
        <v>31</v>
      </c>
      <c r="C576" s="325" t="e">
        <f>C574</f>
        <v>#REF!</v>
      </c>
      <c r="D576" s="326" t="s">
        <v>36</v>
      </c>
      <c r="E576" s="327" t="e">
        <f>#REF!</f>
        <v>#REF!</v>
      </c>
      <c r="F576" s="328" t="e">
        <f t="shared" ref="F576:F580" si="224">C576*E576</f>
        <v>#REF!</v>
      </c>
      <c r="H576" s="205"/>
      <c r="I576" s="201" t="s">
        <v>14</v>
      </c>
      <c r="J576" s="219" t="e">
        <f>SUM(J575)*2</f>
        <v>#REF!</v>
      </c>
      <c r="K576" s="427" t="s">
        <v>15</v>
      </c>
      <c r="L576" s="208" t="e">
        <f t="shared" si="223"/>
        <v>#REF!</v>
      </c>
      <c r="M576" s="209" t="e">
        <f t="shared" si="222"/>
        <v>#REF!</v>
      </c>
    </row>
    <row r="577" spans="1:13">
      <c r="A577" s="205"/>
      <c r="B577" s="330" t="s">
        <v>868</v>
      </c>
      <c r="C577" s="325">
        <f>1/(0.2*0.4)</f>
        <v>12.499999999999998</v>
      </c>
      <c r="D577" s="326" t="s">
        <v>36</v>
      </c>
      <c r="E577" s="327" t="e">
        <f t="shared" ref="E577:E579" si="225">E564</f>
        <v>#REF!</v>
      </c>
      <c r="F577" s="328" t="e">
        <f t="shared" si="224"/>
        <v>#REF!</v>
      </c>
      <c r="H577" s="205"/>
      <c r="I577" s="330" t="s">
        <v>31</v>
      </c>
      <c r="J577" s="325" t="e">
        <f>J575</f>
        <v>#REF!</v>
      </c>
      <c r="K577" s="326" t="s">
        <v>36</v>
      </c>
      <c r="L577" s="327" t="e">
        <f>#REF!</f>
        <v>#REF!</v>
      </c>
      <c r="M577" s="328" t="e">
        <f t="shared" ref="M577:M581" si="226">J577*L577</f>
        <v>#REF!</v>
      </c>
    </row>
    <row r="578" spans="1:13">
      <c r="A578" s="205"/>
      <c r="B578" s="330" t="s">
        <v>670</v>
      </c>
      <c r="C578" s="325">
        <f>(0.2+0.4)*C577</f>
        <v>7.5</v>
      </c>
      <c r="D578" s="326" t="s">
        <v>11</v>
      </c>
      <c r="E578" s="327">
        <f t="shared" si="225"/>
        <v>33.14</v>
      </c>
      <c r="F578" s="328">
        <f t="shared" si="224"/>
        <v>248.55</v>
      </c>
      <c r="H578" s="205"/>
      <c r="I578" s="330" t="s">
        <v>870</v>
      </c>
      <c r="J578" s="325">
        <f>1/(0.15*0.4)</f>
        <v>16.666666666666668</v>
      </c>
      <c r="K578" s="326" t="s">
        <v>36</v>
      </c>
      <c r="L578" s="327" t="e">
        <f t="shared" ref="L578:L581" si="227">E577</f>
        <v>#REF!</v>
      </c>
      <c r="M578" s="328" t="e">
        <f t="shared" si="226"/>
        <v>#REF!</v>
      </c>
    </row>
    <row r="579" spans="1:13">
      <c r="A579" s="205"/>
      <c r="B579" s="330" t="s">
        <v>23</v>
      </c>
      <c r="C579" s="325">
        <v>1</v>
      </c>
      <c r="D579" s="326" t="s">
        <v>25</v>
      </c>
      <c r="E579" s="327" t="e">
        <f t="shared" si="225"/>
        <v>#REF!</v>
      </c>
      <c r="F579" s="328" t="e">
        <f t="shared" si="224"/>
        <v>#REF!</v>
      </c>
      <c r="H579" s="205"/>
      <c r="I579" s="330" t="s">
        <v>670</v>
      </c>
      <c r="J579" s="325">
        <f>(0.15+0.4)*J578</f>
        <v>9.1666666666666679</v>
      </c>
      <c r="K579" s="326" t="s">
        <v>11</v>
      </c>
      <c r="L579" s="327">
        <f t="shared" si="227"/>
        <v>33.14</v>
      </c>
      <c r="M579" s="328">
        <f t="shared" si="226"/>
        <v>303.78333333333336</v>
      </c>
    </row>
    <row r="580" spans="1:13">
      <c r="A580" s="205"/>
      <c r="B580" s="330" t="s">
        <v>7</v>
      </c>
      <c r="C580" s="325" t="e">
        <f>SUM(F573:F575)</f>
        <v>#REF!</v>
      </c>
      <c r="D580" s="326" t="s">
        <v>8</v>
      </c>
      <c r="E580" s="327" t="e">
        <f>E567</f>
        <v>#REF!</v>
      </c>
      <c r="F580" s="328" t="e">
        <f t="shared" si="224"/>
        <v>#REF!</v>
      </c>
      <c r="H580" s="205"/>
      <c r="I580" s="330" t="s">
        <v>23</v>
      </c>
      <c r="J580" s="325">
        <v>1</v>
      </c>
      <c r="K580" s="326" t="s">
        <v>25</v>
      </c>
      <c r="L580" s="327" t="e">
        <f t="shared" si="227"/>
        <v>#REF!</v>
      </c>
      <c r="M580" s="328" t="e">
        <f t="shared" si="226"/>
        <v>#REF!</v>
      </c>
    </row>
    <row r="581" spans="1:13">
      <c r="A581" s="205"/>
      <c r="B581" s="210"/>
      <c r="C581" s="207"/>
      <c r="D581" s="428"/>
      <c r="E581" s="208"/>
      <c r="F581" s="209"/>
      <c r="H581" s="205"/>
      <c r="I581" s="330" t="s">
        <v>7</v>
      </c>
      <c r="J581" s="325" t="e">
        <f>SUM(M574:M576)</f>
        <v>#REF!</v>
      </c>
      <c r="K581" s="326" t="s">
        <v>8</v>
      </c>
      <c r="L581" s="327" t="e">
        <f t="shared" si="227"/>
        <v>#REF!</v>
      </c>
      <c r="M581" s="328" t="e">
        <f t="shared" si="226"/>
        <v>#REF!</v>
      </c>
    </row>
    <row r="582" spans="1:13">
      <c r="A582" s="198"/>
      <c r="B582" s="198" t="s">
        <v>548</v>
      </c>
      <c r="C582" s="199"/>
      <c r="D582" s="426"/>
      <c r="E582" s="199"/>
      <c r="F582" s="197" t="e">
        <f>SUM(F573:F581)</f>
        <v>#REF!</v>
      </c>
      <c r="H582" s="205"/>
      <c r="I582" s="210"/>
      <c r="J582" s="207"/>
      <c r="K582" s="428"/>
      <c r="L582" s="208"/>
      <c r="M582" s="209"/>
    </row>
    <row r="583" spans="1:13">
      <c r="H583" s="198"/>
      <c r="I583" s="198" t="s">
        <v>548</v>
      </c>
      <c r="J583" s="199"/>
      <c r="K583" s="426"/>
      <c r="L583" s="199"/>
      <c r="M583" s="197" t="e">
        <f>SUM(M574:M582)</f>
        <v>#REF!</v>
      </c>
    </row>
    <row r="585" spans="1:13">
      <c r="A585" s="199"/>
      <c r="B585" s="364" t="s">
        <v>842</v>
      </c>
      <c r="C585" s="199"/>
      <c r="D585" s="426"/>
      <c r="E585" s="199"/>
      <c r="F585" s="199"/>
      <c r="H585" s="199"/>
      <c r="I585" s="364" t="s">
        <v>844</v>
      </c>
      <c r="J585" s="199"/>
      <c r="K585" s="426"/>
      <c r="L585" s="199"/>
      <c r="M585" s="199"/>
    </row>
    <row r="586" spans="1:13">
      <c r="A586" s="213"/>
      <c r="B586" s="214"/>
      <c r="C586" s="214"/>
      <c r="D586" s="429"/>
      <c r="E586" s="214"/>
      <c r="F586" s="215"/>
      <c r="H586" s="213"/>
      <c r="I586" s="214"/>
      <c r="J586" s="214"/>
      <c r="K586" s="429"/>
      <c r="L586" s="214"/>
      <c r="M586" s="215"/>
    </row>
    <row r="587" spans="1:13">
      <c r="A587" s="205"/>
      <c r="B587" s="219" t="s">
        <v>593</v>
      </c>
      <c r="C587" s="219">
        <v>1.05</v>
      </c>
      <c r="D587" s="427" t="s">
        <v>25</v>
      </c>
      <c r="E587" s="208" t="e">
        <f>E573</f>
        <v>#REF!</v>
      </c>
      <c r="F587" s="209" t="e">
        <f t="shared" ref="F587:F589" si="228">+C587*E587</f>
        <v>#REF!</v>
      </c>
      <c r="H587" s="205"/>
      <c r="I587" s="219" t="s">
        <v>593</v>
      </c>
      <c r="J587" s="219">
        <v>1.05</v>
      </c>
      <c r="K587" s="427" t="s">
        <v>25</v>
      </c>
      <c r="L587" s="208" t="e">
        <f>L574</f>
        <v>#REF!</v>
      </c>
      <c r="M587" s="209" t="e">
        <f t="shared" ref="M587:M589" si="229">+J587*L587</f>
        <v>#REF!</v>
      </c>
    </row>
    <row r="588" spans="1:13">
      <c r="A588" s="205"/>
      <c r="B588" s="219" t="s">
        <v>43</v>
      </c>
      <c r="C588" s="219" t="e">
        <f>C574</f>
        <v>#REF!</v>
      </c>
      <c r="D588" s="427" t="s">
        <v>13</v>
      </c>
      <c r="E588" s="208" t="e">
        <f t="shared" ref="E588:E589" si="230">E574</f>
        <v>#REF!</v>
      </c>
      <c r="F588" s="209" t="e">
        <f t="shared" si="228"/>
        <v>#REF!</v>
      </c>
      <c r="H588" s="205"/>
      <c r="I588" s="219" t="s">
        <v>43</v>
      </c>
      <c r="J588" s="219" t="e">
        <f>J575</f>
        <v>#REF!</v>
      </c>
      <c r="K588" s="427" t="s">
        <v>13</v>
      </c>
      <c r="L588" s="208" t="e">
        <f t="shared" ref="L588:L589" si="231">L575</f>
        <v>#REF!</v>
      </c>
      <c r="M588" s="209" t="e">
        <f t="shared" si="229"/>
        <v>#REF!</v>
      </c>
    </row>
    <row r="589" spans="1:13">
      <c r="A589" s="205"/>
      <c r="B589" s="201" t="s">
        <v>14</v>
      </c>
      <c r="C589" s="219" t="e">
        <f>SUM(C588)*2</f>
        <v>#REF!</v>
      </c>
      <c r="D589" s="427" t="s">
        <v>15</v>
      </c>
      <c r="E589" s="208" t="e">
        <f t="shared" si="230"/>
        <v>#REF!</v>
      </c>
      <c r="F589" s="209" t="e">
        <f t="shared" si="228"/>
        <v>#REF!</v>
      </c>
      <c r="H589" s="205"/>
      <c r="I589" s="201" t="s">
        <v>14</v>
      </c>
      <c r="J589" s="219" t="e">
        <f>SUM(J588)*2</f>
        <v>#REF!</v>
      </c>
      <c r="K589" s="427" t="s">
        <v>15</v>
      </c>
      <c r="L589" s="208" t="e">
        <f t="shared" si="231"/>
        <v>#REF!</v>
      </c>
      <c r="M589" s="209" t="e">
        <f t="shared" si="229"/>
        <v>#REF!</v>
      </c>
    </row>
    <row r="590" spans="1:13">
      <c r="A590" s="205"/>
      <c r="B590" s="330" t="s">
        <v>31</v>
      </c>
      <c r="C590" s="325" t="e">
        <f>C588</f>
        <v>#REF!</v>
      </c>
      <c r="D590" s="326" t="s">
        <v>36</v>
      </c>
      <c r="E590" s="327" t="e">
        <f>#REF!</f>
        <v>#REF!</v>
      </c>
      <c r="F590" s="328" t="e">
        <f t="shared" ref="F590:F594" si="232">C590*E590</f>
        <v>#REF!</v>
      </c>
      <c r="H590" s="205"/>
      <c r="I590" s="330" t="s">
        <v>31</v>
      </c>
      <c r="J590" s="325" t="e">
        <f>J588</f>
        <v>#REF!</v>
      </c>
      <c r="K590" s="326" t="s">
        <v>36</v>
      </c>
      <c r="L590" s="327" t="e">
        <f>#REF!</f>
        <v>#REF!</v>
      </c>
      <c r="M590" s="328" t="e">
        <f t="shared" ref="M590:M594" si="233">J590*L590</f>
        <v>#REF!</v>
      </c>
    </row>
    <row r="591" spans="1:13">
      <c r="A591" s="205"/>
      <c r="B591" s="330" t="s">
        <v>868</v>
      </c>
      <c r="C591" s="325">
        <f>1/(0.2*0.4)</f>
        <v>12.499999999999998</v>
      </c>
      <c r="D591" s="326" t="s">
        <v>36</v>
      </c>
      <c r="E591" s="327" t="e">
        <f t="shared" ref="E591:E594" si="234">E577</f>
        <v>#REF!</v>
      </c>
      <c r="F591" s="328" t="e">
        <f t="shared" si="232"/>
        <v>#REF!</v>
      </c>
      <c r="H591" s="205"/>
      <c r="I591" s="330" t="s">
        <v>870</v>
      </c>
      <c r="J591" s="325">
        <f>1/(0.15*0.4)</f>
        <v>16.666666666666668</v>
      </c>
      <c r="K591" s="326" t="s">
        <v>36</v>
      </c>
      <c r="L591" s="327" t="e">
        <f>L578</f>
        <v>#REF!</v>
      </c>
      <c r="M591" s="328" t="e">
        <f t="shared" si="233"/>
        <v>#REF!</v>
      </c>
    </row>
    <row r="592" spans="1:13">
      <c r="A592" s="205"/>
      <c r="B592" s="330" t="s">
        <v>670</v>
      </c>
      <c r="C592" s="325">
        <f>(0.2+0.4)*C591</f>
        <v>7.5</v>
      </c>
      <c r="D592" s="326" t="s">
        <v>11</v>
      </c>
      <c r="E592" s="327">
        <f t="shared" si="234"/>
        <v>33.14</v>
      </c>
      <c r="F592" s="328">
        <f t="shared" si="232"/>
        <v>248.55</v>
      </c>
      <c r="H592" s="205"/>
      <c r="I592" s="330" t="s">
        <v>670</v>
      </c>
      <c r="J592" s="325">
        <f>(0.15+0.4)*J591</f>
        <v>9.1666666666666679</v>
      </c>
      <c r="K592" s="326" t="s">
        <v>11</v>
      </c>
      <c r="L592" s="327">
        <f t="shared" ref="L592:L594" si="235">L579</f>
        <v>33.14</v>
      </c>
      <c r="M592" s="328">
        <f t="shared" si="233"/>
        <v>303.78333333333336</v>
      </c>
    </row>
    <row r="593" spans="1:13">
      <c r="A593" s="205"/>
      <c r="B593" s="330" t="s">
        <v>23</v>
      </c>
      <c r="C593" s="325">
        <v>1</v>
      </c>
      <c r="D593" s="326" t="s">
        <v>25</v>
      </c>
      <c r="E593" s="327" t="e">
        <f t="shared" si="234"/>
        <v>#REF!</v>
      </c>
      <c r="F593" s="328" t="e">
        <f t="shared" si="232"/>
        <v>#REF!</v>
      </c>
      <c r="H593" s="205"/>
      <c r="I593" s="330" t="s">
        <v>23</v>
      </c>
      <c r="J593" s="325">
        <v>1</v>
      </c>
      <c r="K593" s="326" t="s">
        <v>25</v>
      </c>
      <c r="L593" s="327" t="e">
        <f t="shared" si="235"/>
        <v>#REF!</v>
      </c>
      <c r="M593" s="328" t="e">
        <f t="shared" si="233"/>
        <v>#REF!</v>
      </c>
    </row>
    <row r="594" spans="1:13">
      <c r="A594" s="205"/>
      <c r="B594" s="330" t="s">
        <v>7</v>
      </c>
      <c r="C594" s="325" t="e">
        <f>SUM(F587:F589)</f>
        <v>#REF!</v>
      </c>
      <c r="D594" s="326" t="s">
        <v>8</v>
      </c>
      <c r="E594" s="327" t="e">
        <f t="shared" si="234"/>
        <v>#REF!</v>
      </c>
      <c r="F594" s="328" t="e">
        <f t="shared" si="232"/>
        <v>#REF!</v>
      </c>
      <c r="H594" s="205"/>
      <c r="I594" s="330" t="s">
        <v>7</v>
      </c>
      <c r="J594" s="325" t="e">
        <f>SUM(M587:M589)</f>
        <v>#REF!</v>
      </c>
      <c r="K594" s="326" t="s">
        <v>8</v>
      </c>
      <c r="L594" s="327" t="e">
        <f t="shared" si="235"/>
        <v>#REF!</v>
      </c>
      <c r="M594" s="328" t="e">
        <f t="shared" si="233"/>
        <v>#REF!</v>
      </c>
    </row>
    <row r="595" spans="1:13">
      <c r="A595" s="205"/>
      <c r="B595" s="210"/>
      <c r="C595" s="207"/>
      <c r="D595" s="428"/>
      <c r="E595" s="208"/>
      <c r="F595" s="209"/>
      <c r="H595" s="205"/>
      <c r="I595" s="210"/>
      <c r="J595" s="207"/>
      <c r="K595" s="428"/>
      <c r="L595" s="208"/>
      <c r="M595" s="209"/>
    </row>
    <row r="596" spans="1:13">
      <c r="A596" s="198"/>
      <c r="B596" s="198" t="s">
        <v>548</v>
      </c>
      <c r="C596" s="199"/>
      <c r="D596" s="426"/>
      <c r="E596" s="199"/>
      <c r="F596" s="197" t="e">
        <f>SUM(F587:F595)</f>
        <v>#REF!</v>
      </c>
      <c r="H596" s="198"/>
      <c r="I596" s="198" t="s">
        <v>548</v>
      </c>
      <c r="J596" s="199"/>
      <c r="K596" s="426"/>
      <c r="L596" s="199"/>
      <c r="M596" s="197" t="e">
        <f>SUM(M587:M595)</f>
        <v>#REF!</v>
      </c>
    </row>
    <row r="597" spans="1:13">
      <c r="H597" s="367"/>
      <c r="I597" s="367"/>
      <c r="J597" s="368"/>
      <c r="K597" s="431"/>
      <c r="L597" s="368"/>
      <c r="M597" s="369"/>
    </row>
    <row r="598" spans="1:13">
      <c r="A598" s="199"/>
      <c r="B598" s="364" t="s">
        <v>869</v>
      </c>
      <c r="C598" s="199"/>
      <c r="D598" s="426"/>
      <c r="E598" s="199"/>
      <c r="F598" s="199"/>
      <c r="H598" s="199"/>
      <c r="I598" s="364" t="s">
        <v>845</v>
      </c>
      <c r="J598" s="199"/>
      <c r="K598" s="426"/>
      <c r="L598" s="199"/>
      <c r="M598" s="199"/>
    </row>
    <row r="599" spans="1:13">
      <c r="A599" s="213"/>
      <c r="B599" s="214"/>
      <c r="C599" s="214"/>
      <c r="D599" s="429"/>
      <c r="E599" s="214"/>
      <c r="F599" s="215"/>
      <c r="H599" s="213"/>
      <c r="I599" s="214"/>
      <c r="J599" s="214"/>
      <c r="K599" s="429"/>
      <c r="L599" s="214"/>
      <c r="M599" s="215"/>
    </row>
    <row r="600" spans="1:13">
      <c r="A600" s="205"/>
      <c r="B600" s="219" t="s">
        <v>593</v>
      </c>
      <c r="C600" s="219">
        <v>1.05</v>
      </c>
      <c r="D600" s="427" t="s">
        <v>25</v>
      </c>
      <c r="E600" s="208" t="e">
        <f>E587</f>
        <v>#REF!</v>
      </c>
      <c r="F600" s="209" t="e">
        <f t="shared" ref="F600:F602" si="236">+C600*E600</f>
        <v>#REF!</v>
      </c>
      <c r="H600" s="205"/>
      <c r="I600" s="219" t="s">
        <v>593</v>
      </c>
      <c r="J600" s="219">
        <v>1.05</v>
      </c>
      <c r="K600" s="427" t="s">
        <v>25</v>
      </c>
      <c r="L600" s="208" t="e">
        <f>L587</f>
        <v>#REF!</v>
      </c>
      <c r="M600" s="209" t="e">
        <f t="shared" ref="M600:M602" si="237">+J600*L600</f>
        <v>#REF!</v>
      </c>
    </row>
    <row r="601" spans="1:13">
      <c r="A601" s="205"/>
      <c r="B601" s="219" t="s">
        <v>43</v>
      </c>
      <c r="C601" s="219" t="e">
        <f>C588</f>
        <v>#REF!</v>
      </c>
      <c r="D601" s="427" t="s">
        <v>13</v>
      </c>
      <c r="E601" s="208" t="e">
        <f t="shared" ref="E601:E602" si="238">E588</f>
        <v>#REF!</v>
      </c>
      <c r="F601" s="209" t="e">
        <f t="shared" si="236"/>
        <v>#REF!</v>
      </c>
      <c r="H601" s="205"/>
      <c r="I601" s="219" t="s">
        <v>43</v>
      </c>
      <c r="J601" s="219" t="e">
        <f>J588</f>
        <v>#REF!</v>
      </c>
      <c r="K601" s="427" t="s">
        <v>13</v>
      </c>
      <c r="L601" s="208" t="e">
        <f t="shared" ref="L601:L602" si="239">L588</f>
        <v>#REF!</v>
      </c>
      <c r="M601" s="209" t="e">
        <f t="shared" si="237"/>
        <v>#REF!</v>
      </c>
    </row>
    <row r="602" spans="1:13">
      <c r="A602" s="205"/>
      <c r="B602" s="201" t="s">
        <v>14</v>
      </c>
      <c r="C602" s="219" t="e">
        <f>SUM(C601)*2</f>
        <v>#REF!</v>
      </c>
      <c r="D602" s="427" t="s">
        <v>15</v>
      </c>
      <c r="E602" s="208" t="e">
        <f t="shared" si="238"/>
        <v>#REF!</v>
      </c>
      <c r="F602" s="209" t="e">
        <f t="shared" si="236"/>
        <v>#REF!</v>
      </c>
      <c r="H602" s="205"/>
      <c r="I602" s="201" t="s">
        <v>14</v>
      </c>
      <c r="J602" s="219" t="e">
        <f>SUM(J601)*2</f>
        <v>#REF!</v>
      </c>
      <c r="K602" s="427" t="s">
        <v>15</v>
      </c>
      <c r="L602" s="208" t="e">
        <f t="shared" si="239"/>
        <v>#REF!</v>
      </c>
      <c r="M602" s="209" t="e">
        <f t="shared" si="237"/>
        <v>#REF!</v>
      </c>
    </row>
    <row r="603" spans="1:13">
      <c r="A603" s="205"/>
      <c r="B603" s="330" t="s">
        <v>31</v>
      </c>
      <c r="C603" s="325" t="e">
        <f>C601</f>
        <v>#REF!</v>
      </c>
      <c r="D603" s="326" t="s">
        <v>36</v>
      </c>
      <c r="E603" s="327" t="e">
        <f>#REF!</f>
        <v>#REF!</v>
      </c>
      <c r="F603" s="328" t="e">
        <f t="shared" ref="F603:F607" si="240">C603*E603</f>
        <v>#REF!</v>
      </c>
      <c r="H603" s="205"/>
      <c r="I603" s="330" t="s">
        <v>31</v>
      </c>
      <c r="J603" s="325" t="e">
        <f>J601</f>
        <v>#REF!</v>
      </c>
      <c r="K603" s="326" t="s">
        <v>36</v>
      </c>
      <c r="L603" s="327" t="e">
        <f>#REF!</f>
        <v>#REF!</v>
      </c>
      <c r="M603" s="328" t="e">
        <f t="shared" ref="M603:M607" si="241">J603*L603</f>
        <v>#REF!</v>
      </c>
    </row>
    <row r="604" spans="1:13">
      <c r="A604" s="205"/>
      <c r="B604" s="330" t="s">
        <v>868</v>
      </c>
      <c r="C604" s="325">
        <f>1/(0.2*0.4)</f>
        <v>12.499999999999998</v>
      </c>
      <c r="D604" s="326" t="s">
        <v>36</v>
      </c>
      <c r="E604" s="327" t="e">
        <f t="shared" ref="E604:E607" si="242">E591</f>
        <v>#REF!</v>
      </c>
      <c r="F604" s="328" t="e">
        <f t="shared" si="240"/>
        <v>#REF!</v>
      </c>
      <c r="H604" s="205"/>
      <c r="I604" s="330" t="s">
        <v>870</v>
      </c>
      <c r="J604" s="325">
        <f>1/(0.15*0.4)</f>
        <v>16.666666666666668</v>
      </c>
      <c r="K604" s="326" t="s">
        <v>36</v>
      </c>
      <c r="L604" s="327" t="e">
        <f>L591</f>
        <v>#REF!</v>
      </c>
      <c r="M604" s="328" t="e">
        <f t="shared" si="241"/>
        <v>#REF!</v>
      </c>
    </row>
    <row r="605" spans="1:13">
      <c r="A605" s="205"/>
      <c r="B605" s="330" t="s">
        <v>670</v>
      </c>
      <c r="C605" s="325">
        <f>(0.2+0.4)*C604</f>
        <v>7.5</v>
      </c>
      <c r="D605" s="326" t="s">
        <v>11</v>
      </c>
      <c r="E605" s="327">
        <f t="shared" si="242"/>
        <v>33.14</v>
      </c>
      <c r="F605" s="328">
        <f t="shared" si="240"/>
        <v>248.55</v>
      </c>
      <c r="H605" s="205"/>
      <c r="I605" s="330" t="s">
        <v>670</v>
      </c>
      <c r="J605" s="325">
        <f>(0.15+0.4)*J604</f>
        <v>9.1666666666666679</v>
      </c>
      <c r="K605" s="326" t="s">
        <v>11</v>
      </c>
      <c r="L605" s="327">
        <f t="shared" ref="L605:L607" si="243">L592</f>
        <v>33.14</v>
      </c>
      <c r="M605" s="328">
        <f t="shared" si="241"/>
        <v>303.78333333333336</v>
      </c>
    </row>
    <row r="606" spans="1:13">
      <c r="A606" s="205"/>
      <c r="B606" s="330" t="s">
        <v>23</v>
      </c>
      <c r="C606" s="325">
        <v>1</v>
      </c>
      <c r="D606" s="326" t="s">
        <v>25</v>
      </c>
      <c r="E606" s="327" t="e">
        <f t="shared" si="242"/>
        <v>#REF!</v>
      </c>
      <c r="F606" s="328" t="e">
        <f t="shared" si="240"/>
        <v>#REF!</v>
      </c>
      <c r="H606" s="205"/>
      <c r="I606" s="330" t="s">
        <v>23</v>
      </c>
      <c r="J606" s="325">
        <v>1</v>
      </c>
      <c r="K606" s="326" t="s">
        <v>25</v>
      </c>
      <c r="L606" s="327" t="e">
        <f t="shared" si="243"/>
        <v>#REF!</v>
      </c>
      <c r="M606" s="328" t="e">
        <f t="shared" si="241"/>
        <v>#REF!</v>
      </c>
    </row>
    <row r="607" spans="1:13">
      <c r="A607" s="205"/>
      <c r="B607" s="330" t="s">
        <v>7</v>
      </c>
      <c r="C607" s="325" t="e">
        <f>SUM(F600:F602)</f>
        <v>#REF!</v>
      </c>
      <c r="D607" s="326" t="s">
        <v>8</v>
      </c>
      <c r="E607" s="327" t="e">
        <f t="shared" si="242"/>
        <v>#REF!</v>
      </c>
      <c r="F607" s="328" t="e">
        <f t="shared" si="240"/>
        <v>#REF!</v>
      </c>
      <c r="H607" s="205"/>
      <c r="I607" s="330" t="s">
        <v>7</v>
      </c>
      <c r="J607" s="325" t="e">
        <f>SUM(M600:M602)</f>
        <v>#REF!</v>
      </c>
      <c r="K607" s="326" t="s">
        <v>8</v>
      </c>
      <c r="L607" s="327" t="e">
        <f t="shared" si="243"/>
        <v>#REF!</v>
      </c>
      <c r="M607" s="328" t="e">
        <f t="shared" si="241"/>
        <v>#REF!</v>
      </c>
    </row>
    <row r="608" spans="1:13">
      <c r="A608" s="205"/>
      <c r="B608" s="210"/>
      <c r="C608" s="207"/>
      <c r="D608" s="428"/>
      <c r="E608" s="208"/>
      <c r="F608" s="209"/>
      <c r="H608" s="205"/>
      <c r="I608" s="210"/>
      <c r="J608" s="207"/>
      <c r="K608" s="428"/>
      <c r="L608" s="208"/>
      <c r="M608" s="209"/>
    </row>
    <row r="609" spans="1:13">
      <c r="A609" s="198"/>
      <c r="B609" s="198" t="s">
        <v>548</v>
      </c>
      <c r="C609" s="199"/>
      <c r="D609" s="426"/>
      <c r="E609" s="199"/>
      <c r="F609" s="197" t="e">
        <f>SUM(F600:F608)</f>
        <v>#REF!</v>
      </c>
      <c r="H609" s="198"/>
      <c r="I609" s="198" t="s">
        <v>548</v>
      </c>
      <c r="J609" s="199"/>
      <c r="K609" s="426"/>
      <c r="L609" s="199"/>
      <c r="M609" s="197" t="e">
        <f>SUM(M600:M608)</f>
        <v>#REF!</v>
      </c>
    </row>
    <row r="610" spans="1:13">
      <c r="H610" s="367"/>
      <c r="I610" s="367"/>
      <c r="J610" s="368"/>
      <c r="K610" s="431"/>
      <c r="L610" s="368"/>
      <c r="M610" s="369"/>
    </row>
    <row r="611" spans="1:13">
      <c r="H611" s="367"/>
      <c r="I611" s="367"/>
      <c r="J611" s="368"/>
      <c r="K611" s="431"/>
      <c r="L611" s="368"/>
      <c r="M611" s="369"/>
    </row>
    <row r="613" spans="1:13">
      <c r="A613" s="199"/>
      <c r="B613" s="364" t="s">
        <v>846</v>
      </c>
      <c r="C613" s="199"/>
      <c r="D613" s="426"/>
      <c r="E613" s="199"/>
      <c r="F613" s="199"/>
      <c r="H613" s="199"/>
      <c r="I613" s="364" t="s">
        <v>871</v>
      </c>
      <c r="J613" s="199"/>
      <c r="K613" s="426"/>
      <c r="L613" s="199"/>
      <c r="M613" s="199"/>
    </row>
    <row r="614" spans="1:13">
      <c r="A614" s="213"/>
      <c r="B614" s="214"/>
      <c r="C614" s="214"/>
      <c r="D614" s="429"/>
      <c r="E614" s="214"/>
      <c r="F614" s="215"/>
      <c r="H614" s="213"/>
      <c r="I614" s="214"/>
      <c r="J614" s="214"/>
      <c r="K614" s="429"/>
      <c r="L614" s="214"/>
      <c r="M614" s="215"/>
    </row>
    <row r="615" spans="1:13">
      <c r="A615" s="205"/>
      <c r="B615" s="219" t="s">
        <v>593</v>
      </c>
      <c r="C615" s="219">
        <v>1.05</v>
      </c>
      <c r="D615" s="427" t="s">
        <v>25</v>
      </c>
      <c r="E615" s="208" t="e">
        <f>L615</f>
        <v>#REF!</v>
      </c>
      <c r="F615" s="209" t="e">
        <f t="shared" ref="F615:F617" si="244">+C615*E615</f>
        <v>#REF!</v>
      </c>
      <c r="H615" s="205"/>
      <c r="I615" s="219" t="s">
        <v>593</v>
      </c>
      <c r="J615" s="219">
        <v>1.05</v>
      </c>
      <c r="K615" s="427" t="s">
        <v>25</v>
      </c>
      <c r="L615" s="208" t="e">
        <f>L600</f>
        <v>#REF!</v>
      </c>
      <c r="M615" s="209" t="e">
        <f t="shared" ref="M615:M617" si="245">+J615*L615</f>
        <v>#REF!</v>
      </c>
    </row>
    <row r="616" spans="1:13">
      <c r="A616" s="205"/>
      <c r="B616" s="219" t="s">
        <v>43</v>
      </c>
      <c r="C616" s="219" t="e">
        <f>+#REF!</f>
        <v>#REF!</v>
      </c>
      <c r="D616" s="427" t="s">
        <v>13</v>
      </c>
      <c r="E616" s="208" t="e">
        <f>L616</f>
        <v>#REF!</v>
      </c>
      <c r="F616" s="209" t="e">
        <f t="shared" si="244"/>
        <v>#REF!</v>
      </c>
      <c r="H616" s="205"/>
      <c r="I616" s="219" t="s">
        <v>43</v>
      </c>
      <c r="J616" s="219" t="e">
        <f>J601</f>
        <v>#REF!</v>
      </c>
      <c r="K616" s="427" t="s">
        <v>13</v>
      </c>
      <c r="L616" s="208" t="e">
        <f t="shared" ref="L616:L617" si="246">L601</f>
        <v>#REF!</v>
      </c>
      <c r="M616" s="209" t="e">
        <f t="shared" si="245"/>
        <v>#REF!</v>
      </c>
    </row>
    <row r="617" spans="1:13">
      <c r="A617" s="205"/>
      <c r="B617" s="201" t="s">
        <v>14</v>
      </c>
      <c r="C617" s="219" t="e">
        <f>SUM(C616)*2</f>
        <v>#REF!</v>
      </c>
      <c r="D617" s="427" t="s">
        <v>15</v>
      </c>
      <c r="E617" s="208" t="e">
        <f>L617</f>
        <v>#REF!</v>
      </c>
      <c r="F617" s="209" t="e">
        <f t="shared" si="244"/>
        <v>#REF!</v>
      </c>
      <c r="H617" s="205"/>
      <c r="I617" s="201" t="s">
        <v>14</v>
      </c>
      <c r="J617" s="219" t="e">
        <f>SUM(J616)*2</f>
        <v>#REF!</v>
      </c>
      <c r="K617" s="427" t="s">
        <v>15</v>
      </c>
      <c r="L617" s="208" t="e">
        <f t="shared" si="246"/>
        <v>#REF!</v>
      </c>
      <c r="M617" s="209" t="e">
        <f t="shared" si="245"/>
        <v>#REF!</v>
      </c>
    </row>
    <row r="618" spans="1:13">
      <c r="A618" s="205"/>
      <c r="B618" s="330" t="s">
        <v>31</v>
      </c>
      <c r="C618" s="325" t="e">
        <f>C616</f>
        <v>#REF!</v>
      </c>
      <c r="D618" s="326" t="s">
        <v>36</v>
      </c>
      <c r="E618" s="327" t="e">
        <f>#REF!</f>
        <v>#REF!</v>
      </c>
      <c r="F618" s="328" t="e">
        <f t="shared" ref="F618:F622" si="247">C618*E618</f>
        <v>#REF!</v>
      </c>
      <c r="H618" s="205"/>
      <c r="I618" s="330" t="s">
        <v>31</v>
      </c>
      <c r="J618" s="325" t="e">
        <f>J616</f>
        <v>#REF!</v>
      </c>
      <c r="K618" s="326" t="s">
        <v>36</v>
      </c>
      <c r="L618" s="327" t="e">
        <f>#REF!</f>
        <v>#REF!</v>
      </c>
      <c r="M618" s="328" t="e">
        <f t="shared" ref="M618:M622" si="248">J618*L618</f>
        <v>#REF!</v>
      </c>
    </row>
    <row r="619" spans="1:13">
      <c r="A619" s="205"/>
      <c r="B619" s="330" t="s">
        <v>868</v>
      </c>
      <c r="C619" s="325">
        <f>1/(0.2*0.4)</f>
        <v>12.499999999999998</v>
      </c>
      <c r="D619" s="326" t="s">
        <v>36</v>
      </c>
      <c r="E619" s="327" t="e">
        <f>L619</f>
        <v>#REF!</v>
      </c>
      <c r="F619" s="328" t="e">
        <f t="shared" si="247"/>
        <v>#REF!</v>
      </c>
      <c r="H619" s="205"/>
      <c r="I619" s="330" t="s">
        <v>870</v>
      </c>
      <c r="J619" s="325">
        <f>1/(0.15*0.4)</f>
        <v>16.666666666666668</v>
      </c>
      <c r="K619" s="326" t="s">
        <v>36</v>
      </c>
      <c r="L619" s="327" t="e">
        <f>L604</f>
        <v>#REF!</v>
      </c>
      <c r="M619" s="328" t="e">
        <f t="shared" si="248"/>
        <v>#REF!</v>
      </c>
    </row>
    <row r="620" spans="1:13">
      <c r="A620" s="205"/>
      <c r="B620" s="330" t="s">
        <v>670</v>
      </c>
      <c r="C620" s="325">
        <f>(0.2+0.4)*C619</f>
        <v>7.5</v>
      </c>
      <c r="D620" s="326" t="s">
        <v>11</v>
      </c>
      <c r="E620" s="327">
        <f t="shared" ref="E620:E622" si="249">L620</f>
        <v>33.14</v>
      </c>
      <c r="F620" s="328">
        <f t="shared" si="247"/>
        <v>248.55</v>
      </c>
      <c r="H620" s="205"/>
      <c r="I620" s="330" t="s">
        <v>670</v>
      </c>
      <c r="J620" s="325">
        <f>(0.15+0.4)*J619</f>
        <v>9.1666666666666679</v>
      </c>
      <c r="K620" s="326" t="s">
        <v>11</v>
      </c>
      <c r="L620" s="327">
        <f t="shared" ref="L620:L622" si="250">L605</f>
        <v>33.14</v>
      </c>
      <c r="M620" s="328">
        <f t="shared" si="248"/>
        <v>303.78333333333336</v>
      </c>
    </row>
    <row r="621" spans="1:13">
      <c r="A621" s="205"/>
      <c r="B621" s="330" t="s">
        <v>23</v>
      </c>
      <c r="C621" s="325">
        <v>1</v>
      </c>
      <c r="D621" s="326" t="s">
        <v>25</v>
      </c>
      <c r="E621" s="327" t="e">
        <f t="shared" si="249"/>
        <v>#REF!</v>
      </c>
      <c r="F621" s="328" t="e">
        <f t="shared" si="247"/>
        <v>#REF!</v>
      </c>
      <c r="H621" s="205"/>
      <c r="I621" s="330" t="s">
        <v>23</v>
      </c>
      <c r="J621" s="325">
        <v>1</v>
      </c>
      <c r="K621" s="326" t="s">
        <v>25</v>
      </c>
      <c r="L621" s="327" t="e">
        <f t="shared" si="250"/>
        <v>#REF!</v>
      </c>
      <c r="M621" s="328" t="e">
        <f t="shared" si="248"/>
        <v>#REF!</v>
      </c>
    </row>
    <row r="622" spans="1:13">
      <c r="A622" s="205"/>
      <c r="B622" s="330" t="s">
        <v>7</v>
      </c>
      <c r="C622" s="325" t="e">
        <f>SUM(F615:F617)</f>
        <v>#REF!</v>
      </c>
      <c r="D622" s="326" t="s">
        <v>8</v>
      </c>
      <c r="E622" s="327" t="e">
        <f t="shared" si="249"/>
        <v>#REF!</v>
      </c>
      <c r="F622" s="328" t="e">
        <f t="shared" si="247"/>
        <v>#REF!</v>
      </c>
      <c r="H622" s="205"/>
      <c r="I622" s="330" t="s">
        <v>7</v>
      </c>
      <c r="J622" s="325" t="e">
        <f>SUM(M615:M617)</f>
        <v>#REF!</v>
      </c>
      <c r="K622" s="326" t="s">
        <v>8</v>
      </c>
      <c r="L622" s="327" t="e">
        <f t="shared" si="250"/>
        <v>#REF!</v>
      </c>
      <c r="M622" s="328" t="e">
        <f t="shared" si="248"/>
        <v>#REF!</v>
      </c>
    </row>
    <row r="623" spans="1:13">
      <c r="A623" s="205"/>
      <c r="B623" s="210"/>
      <c r="C623" s="207"/>
      <c r="D623" s="428"/>
      <c r="E623" s="208"/>
      <c r="F623" s="209"/>
      <c r="H623" s="205"/>
      <c r="I623" s="210"/>
      <c r="J623" s="207"/>
      <c r="K623" s="428"/>
      <c r="L623" s="208"/>
      <c r="M623" s="209"/>
    </row>
    <row r="624" spans="1:13">
      <c r="A624" s="198"/>
      <c r="B624" s="198" t="s">
        <v>548</v>
      </c>
      <c r="C624" s="199"/>
      <c r="D624" s="426"/>
      <c r="E624" s="199"/>
      <c r="F624" s="197" t="e">
        <f>SUM(F615:F623)</f>
        <v>#REF!</v>
      </c>
      <c r="H624" s="198"/>
      <c r="I624" s="198" t="s">
        <v>548</v>
      </c>
      <c r="J624" s="199"/>
      <c r="K624" s="426"/>
      <c r="L624" s="199"/>
      <c r="M624" s="197" t="e">
        <f>SUM(M615:M623)</f>
        <v>#REF!</v>
      </c>
    </row>
    <row r="626" spans="1:13">
      <c r="A626" s="199"/>
      <c r="B626" s="364" t="s">
        <v>847</v>
      </c>
      <c r="C626" s="199" t="s">
        <v>592</v>
      </c>
      <c r="D626" s="426"/>
      <c r="E626" s="199"/>
      <c r="F626" s="199"/>
      <c r="H626" s="199"/>
      <c r="I626" s="364" t="s">
        <v>849</v>
      </c>
      <c r="J626" s="199"/>
      <c r="K626" s="426"/>
      <c r="L626" s="199"/>
      <c r="M626" s="199"/>
    </row>
    <row r="627" spans="1:13">
      <c r="A627" s="213"/>
      <c r="B627" s="214"/>
      <c r="C627" s="214"/>
      <c r="D627" s="429"/>
      <c r="E627" s="214"/>
      <c r="F627" s="215"/>
      <c r="H627" s="213"/>
      <c r="I627" s="214"/>
      <c r="J627" s="214"/>
      <c r="K627" s="429"/>
      <c r="L627" s="214"/>
      <c r="M627" s="215"/>
    </row>
    <row r="628" spans="1:13">
      <c r="A628" s="205"/>
      <c r="B628" s="219" t="s">
        <v>593</v>
      </c>
      <c r="C628" s="219">
        <v>1.05</v>
      </c>
      <c r="D628" s="427" t="s">
        <v>25</v>
      </c>
      <c r="E628" s="208" t="e">
        <f>E615</f>
        <v>#REF!</v>
      </c>
      <c r="F628" s="209" t="e">
        <f t="shared" ref="F628:F630" si="251">+C628*E628</f>
        <v>#REF!</v>
      </c>
      <c r="H628" s="205"/>
      <c r="I628" s="219" t="s">
        <v>593</v>
      </c>
      <c r="J628" s="219">
        <v>1.05</v>
      </c>
      <c r="K628" s="427" t="s">
        <v>25</v>
      </c>
      <c r="L628" s="208" t="e">
        <f>L615</f>
        <v>#REF!</v>
      </c>
      <c r="M628" s="209" t="e">
        <f t="shared" ref="M628:M630" si="252">+J628*L628</f>
        <v>#REF!</v>
      </c>
    </row>
    <row r="629" spans="1:13">
      <c r="A629" s="205"/>
      <c r="B629" s="219" t="s">
        <v>43</v>
      </c>
      <c r="C629" s="219" t="e">
        <f>C616</f>
        <v>#REF!</v>
      </c>
      <c r="D629" s="427" t="s">
        <v>13</v>
      </c>
      <c r="E629" s="208" t="e">
        <f t="shared" ref="E629:E630" si="253">E616</f>
        <v>#REF!</v>
      </c>
      <c r="F629" s="209" t="e">
        <f t="shared" si="251"/>
        <v>#REF!</v>
      </c>
      <c r="H629" s="205"/>
      <c r="I629" s="219" t="s">
        <v>43</v>
      </c>
      <c r="J629" s="219" t="e">
        <f>+#REF!</f>
        <v>#REF!</v>
      </c>
      <c r="K629" s="427" t="s">
        <v>13</v>
      </c>
      <c r="L629" s="208" t="e">
        <f t="shared" ref="L629:L630" si="254">L616</f>
        <v>#REF!</v>
      </c>
      <c r="M629" s="209" t="e">
        <f t="shared" si="252"/>
        <v>#REF!</v>
      </c>
    </row>
    <row r="630" spans="1:13">
      <c r="A630" s="205"/>
      <c r="B630" s="201" t="s">
        <v>14</v>
      </c>
      <c r="C630" s="219" t="e">
        <f>SUM(C629)*2</f>
        <v>#REF!</v>
      </c>
      <c r="D630" s="427" t="s">
        <v>15</v>
      </c>
      <c r="E630" s="208" t="e">
        <f t="shared" si="253"/>
        <v>#REF!</v>
      </c>
      <c r="F630" s="209" t="e">
        <f t="shared" si="251"/>
        <v>#REF!</v>
      </c>
      <c r="H630" s="205"/>
      <c r="I630" s="201" t="s">
        <v>14</v>
      </c>
      <c r="J630" s="219" t="e">
        <f>SUM(J629)*2</f>
        <v>#REF!</v>
      </c>
      <c r="K630" s="427" t="s">
        <v>15</v>
      </c>
      <c r="L630" s="208" t="e">
        <f t="shared" si="254"/>
        <v>#REF!</v>
      </c>
      <c r="M630" s="209" t="e">
        <f t="shared" si="252"/>
        <v>#REF!</v>
      </c>
    </row>
    <row r="631" spans="1:13">
      <c r="A631" s="205"/>
      <c r="B631" s="330" t="s">
        <v>31</v>
      </c>
      <c r="C631" s="325" t="e">
        <f>C629</f>
        <v>#REF!</v>
      </c>
      <c r="D631" s="326" t="s">
        <v>36</v>
      </c>
      <c r="E631" s="327" t="e">
        <f>#REF!</f>
        <v>#REF!</v>
      </c>
      <c r="F631" s="328" t="e">
        <f t="shared" ref="F631:F635" si="255">C631*E631</f>
        <v>#REF!</v>
      </c>
      <c r="H631" s="205"/>
      <c r="I631" s="330" t="s">
        <v>31</v>
      </c>
      <c r="J631" s="325" t="e">
        <f>J629</f>
        <v>#REF!</v>
      </c>
      <c r="K631" s="326" t="s">
        <v>13</v>
      </c>
      <c r="L631" s="327" t="e">
        <f>#REF!</f>
        <v>#REF!</v>
      </c>
      <c r="M631" s="328" t="e">
        <f t="shared" ref="M631:M635" si="256">J631*L631</f>
        <v>#REF!</v>
      </c>
    </row>
    <row r="632" spans="1:13">
      <c r="A632" s="205"/>
      <c r="B632" s="330" t="s">
        <v>868</v>
      </c>
      <c r="C632" s="325">
        <f>1/(0.2*0.4)</f>
        <v>12.499999999999998</v>
      </c>
      <c r="D632" s="326" t="s">
        <v>36</v>
      </c>
      <c r="E632" s="327" t="e">
        <f>L632</f>
        <v>#REF!</v>
      </c>
      <c r="F632" s="328" t="e">
        <f t="shared" si="255"/>
        <v>#REF!</v>
      </c>
      <c r="H632" s="205"/>
      <c r="I632" s="330" t="s">
        <v>870</v>
      </c>
      <c r="J632" s="325">
        <f>1/(0.15*0.4)</f>
        <v>16.666666666666668</v>
      </c>
      <c r="K632" s="326" t="s">
        <v>36</v>
      </c>
      <c r="L632" s="327" t="e">
        <f>L619</f>
        <v>#REF!</v>
      </c>
      <c r="M632" s="328" t="e">
        <f t="shared" si="256"/>
        <v>#REF!</v>
      </c>
    </row>
    <row r="633" spans="1:13">
      <c r="A633" s="205"/>
      <c r="B633" s="330" t="s">
        <v>670</v>
      </c>
      <c r="C633" s="325">
        <f>(0.2+0.4)*C632</f>
        <v>7.5</v>
      </c>
      <c r="D633" s="326" t="s">
        <v>11</v>
      </c>
      <c r="E633" s="327">
        <f t="shared" ref="E633:E635" si="257">L633</f>
        <v>33.14</v>
      </c>
      <c r="F633" s="328">
        <f t="shared" si="255"/>
        <v>248.55</v>
      </c>
      <c r="H633" s="205"/>
      <c r="I633" s="330" t="s">
        <v>670</v>
      </c>
      <c r="J633" s="325">
        <f>(0.15+0.4)*J632</f>
        <v>9.1666666666666679</v>
      </c>
      <c r="K633" s="326" t="s">
        <v>11</v>
      </c>
      <c r="L633" s="327">
        <f t="shared" ref="L633:L635" si="258">L620</f>
        <v>33.14</v>
      </c>
      <c r="M633" s="328">
        <f t="shared" si="256"/>
        <v>303.78333333333336</v>
      </c>
    </row>
    <row r="634" spans="1:13">
      <c r="A634" s="205"/>
      <c r="B634" s="330" t="s">
        <v>23</v>
      </c>
      <c r="C634" s="325">
        <v>1</v>
      </c>
      <c r="D634" s="326" t="s">
        <v>25</v>
      </c>
      <c r="E634" s="327" t="e">
        <f t="shared" si="257"/>
        <v>#REF!</v>
      </c>
      <c r="F634" s="328" t="e">
        <f t="shared" si="255"/>
        <v>#REF!</v>
      </c>
      <c r="H634" s="205"/>
      <c r="I634" s="330" t="s">
        <v>23</v>
      </c>
      <c r="J634" s="325">
        <v>1</v>
      </c>
      <c r="K634" s="326" t="s">
        <v>25</v>
      </c>
      <c r="L634" s="327" t="e">
        <f t="shared" si="258"/>
        <v>#REF!</v>
      </c>
      <c r="M634" s="328" t="e">
        <f t="shared" si="256"/>
        <v>#REF!</v>
      </c>
    </row>
    <row r="635" spans="1:13">
      <c r="A635" s="205"/>
      <c r="B635" s="330" t="s">
        <v>7</v>
      </c>
      <c r="C635" s="325" t="e">
        <f>SUM(F628:F630)</f>
        <v>#REF!</v>
      </c>
      <c r="D635" s="326" t="s">
        <v>8</v>
      </c>
      <c r="E635" s="327" t="e">
        <f t="shared" si="257"/>
        <v>#REF!</v>
      </c>
      <c r="F635" s="328" t="e">
        <f t="shared" si="255"/>
        <v>#REF!</v>
      </c>
      <c r="H635" s="205"/>
      <c r="I635" s="330" t="s">
        <v>7</v>
      </c>
      <c r="J635" s="325" t="e">
        <f>SUM(M628:M630)</f>
        <v>#REF!</v>
      </c>
      <c r="K635" s="326" t="s">
        <v>8</v>
      </c>
      <c r="L635" s="327" t="e">
        <f t="shared" si="258"/>
        <v>#REF!</v>
      </c>
      <c r="M635" s="328" t="e">
        <f t="shared" si="256"/>
        <v>#REF!</v>
      </c>
    </row>
    <row r="636" spans="1:13">
      <c r="A636" s="205"/>
      <c r="B636" s="210"/>
      <c r="C636" s="207"/>
      <c r="D636" s="428"/>
      <c r="E636" s="208"/>
      <c r="F636" s="209"/>
      <c r="H636" s="205"/>
      <c r="I636" s="210"/>
      <c r="J636" s="207"/>
      <c r="K636" s="428"/>
      <c r="L636" s="208"/>
      <c r="M636" s="209"/>
    </row>
    <row r="637" spans="1:13">
      <c r="A637" s="198"/>
      <c r="B637" s="198" t="s">
        <v>548</v>
      </c>
      <c r="C637" s="199"/>
      <c r="D637" s="426"/>
      <c r="E637" s="199"/>
      <c r="F637" s="197" t="e">
        <f>SUM(F628:F636)</f>
        <v>#REF!</v>
      </c>
      <c r="H637" s="198"/>
      <c r="I637" s="198" t="s">
        <v>548</v>
      </c>
      <c r="J637" s="199"/>
      <c r="K637" s="426"/>
      <c r="L637" s="199"/>
      <c r="M637" s="197" t="e">
        <f>SUM(M628:M636)</f>
        <v>#REF!</v>
      </c>
    </row>
    <row r="639" spans="1:13">
      <c r="A639" s="199"/>
      <c r="B639" s="364" t="s">
        <v>848</v>
      </c>
      <c r="C639" s="199" t="s">
        <v>592</v>
      </c>
      <c r="D639" s="426"/>
      <c r="E639" s="199"/>
      <c r="F639" s="199"/>
      <c r="H639" s="199"/>
      <c r="I639" s="364" t="s">
        <v>850</v>
      </c>
      <c r="J639" s="199"/>
      <c r="K639" s="426"/>
      <c r="L639" s="199"/>
      <c r="M639" s="199"/>
    </row>
    <row r="640" spans="1:13">
      <c r="A640" s="213"/>
      <c r="B640" s="214"/>
      <c r="C640" s="214"/>
      <c r="D640" s="429"/>
      <c r="E640" s="214"/>
      <c r="F640" s="215"/>
      <c r="H640" s="213"/>
      <c r="I640" s="214"/>
      <c r="J640" s="214"/>
      <c r="K640" s="429"/>
      <c r="L640" s="214"/>
      <c r="M640" s="215"/>
    </row>
    <row r="641" spans="1:13">
      <c r="A641" s="205"/>
      <c r="B641" s="219" t="s">
        <v>593</v>
      </c>
      <c r="C641" s="219">
        <v>1.05</v>
      </c>
      <c r="D641" s="427" t="s">
        <v>25</v>
      </c>
      <c r="E641" s="208" t="e">
        <f>E628</f>
        <v>#REF!</v>
      </c>
      <c r="F641" s="209" t="e">
        <f t="shared" ref="F641:F643" si="259">+C641*E641</f>
        <v>#REF!</v>
      </c>
      <c r="H641" s="205"/>
      <c r="I641" s="219" t="s">
        <v>593</v>
      </c>
      <c r="J641" s="219">
        <v>1.05</v>
      </c>
      <c r="K641" s="427" t="s">
        <v>25</v>
      </c>
      <c r="L641" s="208" t="e">
        <f>L628</f>
        <v>#REF!</v>
      </c>
      <c r="M641" s="209" t="e">
        <f t="shared" ref="M641:M643" si="260">+J641*L641</f>
        <v>#REF!</v>
      </c>
    </row>
    <row r="642" spans="1:13">
      <c r="A642" s="205"/>
      <c r="B642" s="219" t="s">
        <v>43</v>
      </c>
      <c r="C642" s="219" t="e">
        <f>C629</f>
        <v>#REF!</v>
      </c>
      <c r="D642" s="427" t="s">
        <v>13</v>
      </c>
      <c r="E642" s="208" t="e">
        <f t="shared" ref="E642:E643" si="261">E629</f>
        <v>#REF!</v>
      </c>
      <c r="F642" s="209" t="e">
        <f t="shared" si="259"/>
        <v>#REF!</v>
      </c>
      <c r="H642" s="205"/>
      <c r="I642" s="219" t="s">
        <v>43</v>
      </c>
      <c r="J642" s="219" t="e">
        <f>J629</f>
        <v>#REF!</v>
      </c>
      <c r="K642" s="427" t="s">
        <v>13</v>
      </c>
      <c r="L642" s="208" t="e">
        <f t="shared" ref="L642:L643" si="262">L629</f>
        <v>#REF!</v>
      </c>
      <c r="M642" s="209" t="e">
        <f t="shared" si="260"/>
        <v>#REF!</v>
      </c>
    </row>
    <row r="643" spans="1:13">
      <c r="A643" s="205"/>
      <c r="B643" s="201" t="s">
        <v>14</v>
      </c>
      <c r="C643" s="219" t="e">
        <f>SUM(C642)*2</f>
        <v>#REF!</v>
      </c>
      <c r="D643" s="427" t="s">
        <v>15</v>
      </c>
      <c r="E643" s="208" t="e">
        <f t="shared" si="261"/>
        <v>#REF!</v>
      </c>
      <c r="F643" s="209" t="e">
        <f t="shared" si="259"/>
        <v>#REF!</v>
      </c>
      <c r="H643" s="205"/>
      <c r="I643" s="201" t="s">
        <v>14</v>
      </c>
      <c r="J643" s="219" t="e">
        <f>SUM(J642)*2</f>
        <v>#REF!</v>
      </c>
      <c r="K643" s="427" t="s">
        <v>15</v>
      </c>
      <c r="L643" s="208" t="e">
        <f t="shared" si="262"/>
        <v>#REF!</v>
      </c>
      <c r="M643" s="209" t="e">
        <f t="shared" si="260"/>
        <v>#REF!</v>
      </c>
    </row>
    <row r="644" spans="1:13">
      <c r="A644" s="205"/>
      <c r="B644" s="330" t="s">
        <v>31</v>
      </c>
      <c r="C644" s="325" t="e">
        <f>C642</f>
        <v>#REF!</v>
      </c>
      <c r="D644" s="326" t="s">
        <v>36</v>
      </c>
      <c r="E644" s="327" t="e">
        <f>#REF!</f>
        <v>#REF!</v>
      </c>
      <c r="F644" s="328" t="e">
        <f t="shared" ref="F644:F648" si="263">C644*E644</f>
        <v>#REF!</v>
      </c>
      <c r="H644" s="205"/>
      <c r="I644" s="330" t="s">
        <v>31</v>
      </c>
      <c r="J644" s="325" t="e">
        <f>J642</f>
        <v>#REF!</v>
      </c>
      <c r="K644" s="326" t="s">
        <v>13</v>
      </c>
      <c r="L644" s="327" t="e">
        <f>#REF!</f>
        <v>#REF!</v>
      </c>
      <c r="M644" s="328" t="e">
        <f t="shared" ref="M644:M648" si="264">J644*L644</f>
        <v>#REF!</v>
      </c>
    </row>
    <row r="645" spans="1:13">
      <c r="A645" s="205"/>
      <c r="B645" s="330" t="s">
        <v>868</v>
      </c>
      <c r="C645" s="325">
        <f>1/(0.2*0.4)</f>
        <v>12.499999999999998</v>
      </c>
      <c r="D645" s="326" t="s">
        <v>36</v>
      </c>
      <c r="E645" s="327" t="e">
        <f>L645</f>
        <v>#REF!</v>
      </c>
      <c r="F645" s="328" t="e">
        <f t="shared" si="263"/>
        <v>#REF!</v>
      </c>
      <c r="H645" s="205"/>
      <c r="I645" s="330" t="s">
        <v>870</v>
      </c>
      <c r="J645" s="325">
        <f>1/(0.15*0.4)</f>
        <v>16.666666666666668</v>
      </c>
      <c r="K645" s="326" t="s">
        <v>36</v>
      </c>
      <c r="L645" s="327" t="e">
        <f>L632</f>
        <v>#REF!</v>
      </c>
      <c r="M645" s="328" t="e">
        <f t="shared" si="264"/>
        <v>#REF!</v>
      </c>
    </row>
    <row r="646" spans="1:13">
      <c r="A646" s="205"/>
      <c r="B646" s="330" t="s">
        <v>670</v>
      </c>
      <c r="C646" s="325">
        <f>(0.2+0.4)*C645</f>
        <v>7.5</v>
      </c>
      <c r="D646" s="326" t="s">
        <v>11</v>
      </c>
      <c r="E646" s="327">
        <f t="shared" ref="E646:E648" si="265">L646</f>
        <v>33.14</v>
      </c>
      <c r="F646" s="328">
        <f t="shared" si="263"/>
        <v>248.55</v>
      </c>
      <c r="H646" s="205"/>
      <c r="I646" s="330" t="s">
        <v>670</v>
      </c>
      <c r="J646" s="325">
        <f>(0.15+0.4)*J645</f>
        <v>9.1666666666666679</v>
      </c>
      <c r="K646" s="326" t="s">
        <v>11</v>
      </c>
      <c r="L646" s="327">
        <f t="shared" ref="L646:L648" si="266">L633</f>
        <v>33.14</v>
      </c>
      <c r="M646" s="328">
        <f t="shared" si="264"/>
        <v>303.78333333333336</v>
      </c>
    </row>
    <row r="647" spans="1:13">
      <c r="A647" s="205"/>
      <c r="B647" s="330" t="s">
        <v>23</v>
      </c>
      <c r="C647" s="325">
        <v>1</v>
      </c>
      <c r="D647" s="326" t="s">
        <v>25</v>
      </c>
      <c r="E647" s="327" t="e">
        <f t="shared" si="265"/>
        <v>#REF!</v>
      </c>
      <c r="F647" s="328" t="e">
        <f t="shared" si="263"/>
        <v>#REF!</v>
      </c>
      <c r="H647" s="205"/>
      <c r="I647" s="330" t="s">
        <v>23</v>
      </c>
      <c r="J647" s="325">
        <v>1</v>
      </c>
      <c r="K647" s="326" t="s">
        <v>25</v>
      </c>
      <c r="L647" s="327" t="e">
        <f t="shared" si="266"/>
        <v>#REF!</v>
      </c>
      <c r="M647" s="328" t="e">
        <f t="shared" si="264"/>
        <v>#REF!</v>
      </c>
    </row>
    <row r="648" spans="1:13">
      <c r="A648" s="205"/>
      <c r="B648" s="330" t="s">
        <v>7</v>
      </c>
      <c r="C648" s="325" t="e">
        <f>SUM(F641:F643)</f>
        <v>#REF!</v>
      </c>
      <c r="D648" s="326" t="s">
        <v>8</v>
      </c>
      <c r="E648" s="327" t="e">
        <f t="shared" si="265"/>
        <v>#REF!</v>
      </c>
      <c r="F648" s="328" t="e">
        <f t="shared" si="263"/>
        <v>#REF!</v>
      </c>
      <c r="H648" s="205"/>
      <c r="I648" s="330" t="s">
        <v>7</v>
      </c>
      <c r="J648" s="325" t="e">
        <f>SUM(M641:M643)</f>
        <v>#REF!</v>
      </c>
      <c r="K648" s="326" t="s">
        <v>8</v>
      </c>
      <c r="L648" s="327" t="e">
        <f t="shared" si="266"/>
        <v>#REF!</v>
      </c>
      <c r="M648" s="328" t="e">
        <f t="shared" si="264"/>
        <v>#REF!</v>
      </c>
    </row>
    <row r="649" spans="1:13">
      <c r="A649" s="205"/>
      <c r="B649" s="210"/>
      <c r="C649" s="207"/>
      <c r="D649" s="428"/>
      <c r="E649" s="208"/>
      <c r="F649" s="209"/>
      <c r="H649" s="205"/>
      <c r="I649" s="210"/>
      <c r="J649" s="207"/>
      <c r="K649" s="428"/>
      <c r="L649" s="208"/>
      <c r="M649" s="209"/>
    </row>
    <row r="650" spans="1:13">
      <c r="A650" s="198"/>
      <c r="B650" s="198" t="s">
        <v>548</v>
      </c>
      <c r="C650" s="199"/>
      <c r="D650" s="426"/>
      <c r="E650" s="199"/>
      <c r="F650" s="197" t="e">
        <f>SUM(F641:F649)</f>
        <v>#REF!</v>
      </c>
      <c r="H650" s="198"/>
      <c r="I650" s="198" t="s">
        <v>548</v>
      </c>
      <c r="J650" s="199"/>
      <c r="K650" s="426"/>
      <c r="L650" s="199"/>
      <c r="M650" s="197" t="e">
        <f>SUM(M641:M649)</f>
        <v>#REF!</v>
      </c>
    </row>
    <row r="652" spans="1:13">
      <c r="A652" s="199"/>
      <c r="B652" s="364" t="s">
        <v>872</v>
      </c>
      <c r="C652" s="199" t="s">
        <v>592</v>
      </c>
      <c r="D652" s="426"/>
      <c r="E652" s="199"/>
      <c r="F652" s="199"/>
      <c r="H652" s="199"/>
      <c r="I652" s="364" t="s">
        <v>851</v>
      </c>
      <c r="J652" s="199"/>
      <c r="K652" s="426"/>
      <c r="L652" s="199"/>
      <c r="M652" s="199"/>
    </row>
    <row r="653" spans="1:13">
      <c r="A653" s="213"/>
      <c r="B653" s="214"/>
      <c r="C653" s="214"/>
      <c r="D653" s="429"/>
      <c r="E653" s="214"/>
      <c r="F653" s="215"/>
      <c r="H653" s="213"/>
      <c r="I653" s="214"/>
      <c r="J653" s="214"/>
      <c r="K653" s="429"/>
      <c r="L653" s="214"/>
      <c r="M653" s="215"/>
    </row>
    <row r="654" spans="1:13">
      <c r="A654" s="205"/>
      <c r="B654" s="219" t="s">
        <v>593</v>
      </c>
      <c r="C654" s="219">
        <v>1.05</v>
      </c>
      <c r="D654" s="427" t="s">
        <v>25</v>
      </c>
      <c r="E654" s="208" t="e">
        <f>E641</f>
        <v>#REF!</v>
      </c>
      <c r="F654" s="209" t="e">
        <f t="shared" ref="F654:F656" si="267">+C654*E654</f>
        <v>#REF!</v>
      </c>
      <c r="H654" s="205"/>
      <c r="I654" s="219" t="s">
        <v>593</v>
      </c>
      <c r="J654" s="219">
        <v>1.05</v>
      </c>
      <c r="K654" s="427" t="s">
        <v>25</v>
      </c>
      <c r="L654" s="208" t="e">
        <f>L641</f>
        <v>#REF!</v>
      </c>
      <c r="M654" s="209" t="e">
        <f t="shared" ref="M654:M656" si="268">+J654*L654</f>
        <v>#REF!</v>
      </c>
    </row>
    <row r="655" spans="1:13">
      <c r="A655" s="205"/>
      <c r="B655" s="219" t="s">
        <v>43</v>
      </c>
      <c r="C655" s="219" t="e">
        <f>C642</f>
        <v>#REF!</v>
      </c>
      <c r="D655" s="427" t="s">
        <v>13</v>
      </c>
      <c r="E655" s="208" t="e">
        <f t="shared" ref="E655:E656" si="269">E642</f>
        <v>#REF!</v>
      </c>
      <c r="F655" s="209" t="e">
        <f t="shared" si="267"/>
        <v>#REF!</v>
      </c>
      <c r="H655" s="205"/>
      <c r="I655" s="219" t="s">
        <v>43</v>
      </c>
      <c r="J655" s="219" t="e">
        <f>J642</f>
        <v>#REF!</v>
      </c>
      <c r="K655" s="427" t="s">
        <v>13</v>
      </c>
      <c r="L655" s="208" t="e">
        <f t="shared" ref="L655:L656" si="270">L642</f>
        <v>#REF!</v>
      </c>
      <c r="M655" s="209" t="e">
        <f t="shared" si="268"/>
        <v>#REF!</v>
      </c>
    </row>
    <row r="656" spans="1:13">
      <c r="A656" s="205"/>
      <c r="B656" s="201" t="s">
        <v>14</v>
      </c>
      <c r="C656" s="219" t="e">
        <f>SUM(C655)*2</f>
        <v>#REF!</v>
      </c>
      <c r="D656" s="427" t="s">
        <v>15</v>
      </c>
      <c r="E656" s="208" t="e">
        <f t="shared" si="269"/>
        <v>#REF!</v>
      </c>
      <c r="F656" s="209" t="e">
        <f t="shared" si="267"/>
        <v>#REF!</v>
      </c>
      <c r="H656" s="205"/>
      <c r="I656" s="201" t="s">
        <v>14</v>
      </c>
      <c r="J656" s="219" t="e">
        <f>SUM(J655)*2</f>
        <v>#REF!</v>
      </c>
      <c r="K656" s="427" t="s">
        <v>15</v>
      </c>
      <c r="L656" s="208" t="e">
        <f t="shared" si="270"/>
        <v>#REF!</v>
      </c>
      <c r="M656" s="209" t="e">
        <f t="shared" si="268"/>
        <v>#REF!</v>
      </c>
    </row>
    <row r="657" spans="1:13">
      <c r="A657" s="205"/>
      <c r="B657" s="330" t="s">
        <v>31</v>
      </c>
      <c r="C657" s="325" t="e">
        <f>C655</f>
        <v>#REF!</v>
      </c>
      <c r="D657" s="326" t="s">
        <v>36</v>
      </c>
      <c r="E657" s="327" t="e">
        <f>#REF!</f>
        <v>#REF!</v>
      </c>
      <c r="F657" s="328" t="e">
        <f t="shared" ref="F657:F661" si="271">C657*E657</f>
        <v>#REF!</v>
      </c>
      <c r="H657" s="205"/>
      <c r="I657" s="330" t="s">
        <v>31</v>
      </c>
      <c r="J657" s="325" t="e">
        <f>J655</f>
        <v>#REF!</v>
      </c>
      <c r="K657" s="326" t="s">
        <v>13</v>
      </c>
      <c r="L657" s="327" t="e">
        <f>#REF!</f>
        <v>#REF!</v>
      </c>
      <c r="M657" s="328" t="e">
        <f t="shared" ref="M657:M661" si="272">J657*L657</f>
        <v>#REF!</v>
      </c>
    </row>
    <row r="658" spans="1:13">
      <c r="A658" s="205"/>
      <c r="B658" s="330" t="s">
        <v>868</v>
      </c>
      <c r="C658" s="325">
        <f>1/(0.2*0.4)</f>
        <v>12.499999999999998</v>
      </c>
      <c r="D658" s="326" t="s">
        <v>36</v>
      </c>
      <c r="E658" s="327" t="e">
        <f>E645</f>
        <v>#REF!</v>
      </c>
      <c r="F658" s="328" t="e">
        <f t="shared" si="271"/>
        <v>#REF!</v>
      </c>
      <c r="H658" s="205"/>
      <c r="I658" s="330" t="s">
        <v>870</v>
      </c>
      <c r="J658" s="325">
        <f>1/(0.15*0.4)</f>
        <v>16.666666666666668</v>
      </c>
      <c r="K658" s="326" t="s">
        <v>36</v>
      </c>
      <c r="L658" s="327" t="e">
        <f>L645</f>
        <v>#REF!</v>
      </c>
      <c r="M658" s="328" t="e">
        <f t="shared" si="272"/>
        <v>#REF!</v>
      </c>
    </row>
    <row r="659" spans="1:13">
      <c r="A659" s="205"/>
      <c r="B659" s="330" t="s">
        <v>670</v>
      </c>
      <c r="C659" s="325">
        <f>(0.2+0.4)*C658</f>
        <v>7.5</v>
      </c>
      <c r="D659" s="326" t="s">
        <v>11</v>
      </c>
      <c r="E659" s="327">
        <f t="shared" ref="E659:E661" si="273">E646</f>
        <v>33.14</v>
      </c>
      <c r="F659" s="328">
        <f t="shared" si="271"/>
        <v>248.55</v>
      </c>
      <c r="H659" s="205"/>
      <c r="I659" s="330" t="s">
        <v>670</v>
      </c>
      <c r="J659" s="325">
        <f>(0.15+0.4)*J658</f>
        <v>9.1666666666666679</v>
      </c>
      <c r="K659" s="326" t="s">
        <v>11</v>
      </c>
      <c r="L659" s="327">
        <f t="shared" ref="L659:L661" si="274">L646</f>
        <v>33.14</v>
      </c>
      <c r="M659" s="328">
        <f t="shared" si="272"/>
        <v>303.78333333333336</v>
      </c>
    </row>
    <row r="660" spans="1:13">
      <c r="A660" s="205"/>
      <c r="B660" s="330" t="s">
        <v>23</v>
      </c>
      <c r="C660" s="325">
        <v>1</v>
      </c>
      <c r="D660" s="326" t="s">
        <v>25</v>
      </c>
      <c r="E660" s="327" t="e">
        <f t="shared" si="273"/>
        <v>#REF!</v>
      </c>
      <c r="F660" s="328" t="e">
        <f t="shared" si="271"/>
        <v>#REF!</v>
      </c>
      <c r="H660" s="205"/>
      <c r="I660" s="330" t="s">
        <v>23</v>
      </c>
      <c r="J660" s="325">
        <v>1</v>
      </c>
      <c r="K660" s="326" t="s">
        <v>25</v>
      </c>
      <c r="L660" s="327" t="e">
        <f t="shared" si="274"/>
        <v>#REF!</v>
      </c>
      <c r="M660" s="328" t="e">
        <f t="shared" si="272"/>
        <v>#REF!</v>
      </c>
    </row>
    <row r="661" spans="1:13">
      <c r="A661" s="205"/>
      <c r="B661" s="330" t="s">
        <v>7</v>
      </c>
      <c r="C661" s="325" t="e">
        <f>SUM(F654:F656)</f>
        <v>#REF!</v>
      </c>
      <c r="D661" s="326" t="s">
        <v>8</v>
      </c>
      <c r="E661" s="327" t="e">
        <f t="shared" si="273"/>
        <v>#REF!</v>
      </c>
      <c r="F661" s="328" t="e">
        <f t="shared" si="271"/>
        <v>#REF!</v>
      </c>
      <c r="H661" s="205"/>
      <c r="I661" s="330" t="s">
        <v>7</v>
      </c>
      <c r="J661" s="325" t="e">
        <f>SUM(M654:M656)</f>
        <v>#REF!</v>
      </c>
      <c r="K661" s="326" t="s">
        <v>8</v>
      </c>
      <c r="L661" s="327" t="e">
        <f t="shared" si="274"/>
        <v>#REF!</v>
      </c>
      <c r="M661" s="328" t="e">
        <f t="shared" si="272"/>
        <v>#REF!</v>
      </c>
    </row>
    <row r="662" spans="1:13">
      <c r="A662" s="205"/>
      <c r="B662" s="210"/>
      <c r="C662" s="207"/>
      <c r="D662" s="428"/>
      <c r="E662" s="208"/>
      <c r="F662" s="209"/>
      <c r="H662" s="205"/>
      <c r="I662" s="210"/>
      <c r="J662" s="207"/>
      <c r="K662" s="428"/>
      <c r="L662" s="208"/>
      <c r="M662" s="209"/>
    </row>
    <row r="663" spans="1:13">
      <c r="A663" s="198"/>
      <c r="B663" s="198" t="s">
        <v>548</v>
      </c>
      <c r="C663" s="199"/>
      <c r="D663" s="426"/>
      <c r="E663" s="199"/>
      <c r="F663" s="197" t="e">
        <f>SUM(F654:F662)</f>
        <v>#REF!</v>
      </c>
      <c r="H663" s="198"/>
      <c r="I663" s="198" t="s">
        <v>548</v>
      </c>
      <c r="J663" s="199"/>
      <c r="K663" s="426"/>
      <c r="L663" s="199"/>
      <c r="M663" s="197" t="e">
        <f>SUM(M654:M662)</f>
        <v>#REF!</v>
      </c>
    </row>
    <row r="664" spans="1:13">
      <c r="A664" s="394"/>
      <c r="B664" s="394"/>
      <c r="C664" s="395"/>
      <c r="D664" s="433"/>
      <c r="E664" s="395"/>
      <c r="F664" s="396"/>
    </row>
    <row r="665" spans="1:13">
      <c r="A665" s="199"/>
      <c r="B665" s="364" t="s">
        <v>852</v>
      </c>
      <c r="C665" s="199"/>
      <c r="D665" s="426"/>
      <c r="E665" s="199"/>
      <c r="F665" s="199"/>
    </row>
    <row r="666" spans="1:13">
      <c r="A666" s="213"/>
      <c r="B666" s="214"/>
      <c r="C666" s="214"/>
      <c r="D666" s="429"/>
      <c r="E666" s="214"/>
      <c r="F666" s="215"/>
    </row>
    <row r="667" spans="1:13">
      <c r="A667" s="205"/>
      <c r="B667" s="219" t="s">
        <v>593</v>
      </c>
      <c r="C667" s="219">
        <v>1.05</v>
      </c>
      <c r="D667" s="427" t="s">
        <v>25</v>
      </c>
      <c r="E667" s="208" t="e">
        <f>#REF!</f>
        <v>#REF!</v>
      </c>
      <c r="F667" s="209" t="e">
        <f t="shared" ref="F667:F669" si="275">+C667*E667</f>
        <v>#REF!</v>
      </c>
    </row>
    <row r="668" spans="1:13">
      <c r="A668" s="205"/>
      <c r="B668" s="219" t="s">
        <v>43</v>
      </c>
      <c r="C668" s="219" t="e">
        <f>+#REF!</f>
        <v>#REF!</v>
      </c>
      <c r="D668" s="427" t="s">
        <v>13</v>
      </c>
      <c r="E668" s="216" t="e">
        <f>#REF!</f>
        <v>#REF!</v>
      </c>
      <c r="F668" s="209" t="e">
        <f t="shared" si="275"/>
        <v>#REF!</v>
      </c>
    </row>
    <row r="669" spans="1:13">
      <c r="A669" s="205"/>
      <c r="B669" s="201" t="s">
        <v>14</v>
      </c>
      <c r="C669" s="219" t="e">
        <f>SUM(C668)*2</f>
        <v>#REF!</v>
      </c>
      <c r="D669" s="427" t="s">
        <v>15</v>
      </c>
      <c r="E669" s="208" t="e">
        <f>#REF!</f>
        <v>#REF!</v>
      </c>
      <c r="F669" s="209" t="e">
        <f t="shared" si="275"/>
        <v>#REF!</v>
      </c>
    </row>
    <row r="670" spans="1:13">
      <c r="A670" s="205"/>
      <c r="B670" s="330" t="s">
        <v>31</v>
      </c>
      <c r="C670" s="325" t="e">
        <f>C668</f>
        <v>#REF!</v>
      </c>
      <c r="D670" s="326" t="s">
        <v>36</v>
      </c>
      <c r="E670" s="327" t="e">
        <f>#REF!</f>
        <v>#REF!</v>
      </c>
      <c r="F670" s="328" t="e">
        <f t="shared" ref="F670:F674" si="276">C670*E670</f>
        <v>#REF!</v>
      </c>
    </row>
    <row r="671" spans="1:13">
      <c r="A671" s="205"/>
      <c r="B671" s="330" t="s">
        <v>45</v>
      </c>
      <c r="C671" s="325">
        <f>1/(0.2*0.35)</f>
        <v>14.285714285714286</v>
      </c>
      <c r="D671" s="326" t="s">
        <v>36</v>
      </c>
      <c r="E671" s="327">
        <v>165.66</v>
      </c>
      <c r="F671" s="328">
        <f t="shared" si="276"/>
        <v>2366.5714285714284</v>
      </c>
    </row>
    <row r="672" spans="1:13">
      <c r="A672" s="205"/>
      <c r="B672" s="330" t="s">
        <v>670</v>
      </c>
      <c r="C672" s="325">
        <f>(0.2+0.35)*C671</f>
        <v>7.8571428571428585</v>
      </c>
      <c r="D672" s="326" t="s">
        <v>11</v>
      </c>
      <c r="E672" s="327">
        <v>33.14</v>
      </c>
      <c r="F672" s="328">
        <f t="shared" si="276"/>
        <v>260.38571428571436</v>
      </c>
    </row>
    <row r="673" spans="1:13">
      <c r="A673" s="205"/>
      <c r="B673" s="330" t="s">
        <v>44</v>
      </c>
      <c r="C673" s="325">
        <v>1</v>
      </c>
      <c r="D673" s="326" t="s">
        <v>25</v>
      </c>
      <c r="E673" s="327" t="e">
        <f>E660</f>
        <v>#REF!</v>
      </c>
      <c r="F673" s="328"/>
    </row>
    <row r="674" spans="1:13">
      <c r="A674" s="205"/>
      <c r="B674" s="330" t="s">
        <v>7</v>
      </c>
      <c r="C674" s="325" t="e">
        <f>SUM(F667:F669)</f>
        <v>#REF!</v>
      </c>
      <c r="D674" s="326" t="s">
        <v>8</v>
      </c>
      <c r="E674" s="327" t="e">
        <f>#REF!</f>
        <v>#REF!</v>
      </c>
      <c r="F674" s="328" t="e">
        <f t="shared" si="276"/>
        <v>#REF!</v>
      </c>
    </row>
    <row r="675" spans="1:13">
      <c r="A675" s="205"/>
      <c r="B675" s="210"/>
      <c r="C675" s="207"/>
      <c r="D675" s="428"/>
      <c r="E675" s="208"/>
      <c r="F675" s="209"/>
    </row>
    <row r="676" spans="1:13">
      <c r="A676" s="198"/>
      <c r="B676" s="198" t="s">
        <v>548</v>
      </c>
      <c r="C676" s="199"/>
      <c r="D676" s="426"/>
      <c r="E676" s="199"/>
      <c r="F676" s="197" t="e">
        <f>SUM(F667:F675)</f>
        <v>#REF!</v>
      </c>
    </row>
    <row r="678" spans="1:13">
      <c r="A678" s="199"/>
      <c r="B678" s="364" t="s">
        <v>853</v>
      </c>
      <c r="C678" s="199"/>
      <c r="D678" s="426"/>
      <c r="E678" s="199"/>
      <c r="F678" s="199"/>
      <c r="H678" s="199"/>
      <c r="I678" s="364" t="s">
        <v>856</v>
      </c>
      <c r="J678" s="199"/>
      <c r="K678" s="426"/>
      <c r="L678" s="199"/>
      <c r="M678" s="199"/>
    </row>
    <row r="679" spans="1:13">
      <c r="A679" s="213"/>
      <c r="B679" s="214"/>
      <c r="C679" s="214"/>
      <c r="D679" s="429"/>
      <c r="E679" s="214"/>
      <c r="F679" s="215"/>
      <c r="H679" s="213"/>
      <c r="I679" s="214"/>
      <c r="J679" s="214"/>
      <c r="K679" s="429"/>
      <c r="L679" s="214"/>
      <c r="M679" s="215"/>
    </row>
    <row r="680" spans="1:13">
      <c r="A680" s="205"/>
      <c r="B680" s="219" t="s">
        <v>593</v>
      </c>
      <c r="C680" s="219">
        <v>1.05</v>
      </c>
      <c r="D680" s="427" t="s">
        <v>25</v>
      </c>
      <c r="E680" s="208" t="e">
        <f>E667</f>
        <v>#REF!</v>
      </c>
      <c r="F680" s="209" t="e">
        <f t="shared" ref="F680:F682" si="277">+C680*E680</f>
        <v>#REF!</v>
      </c>
      <c r="H680" s="205"/>
      <c r="I680" s="219" t="s">
        <v>593</v>
      </c>
      <c r="J680" s="219">
        <v>1.05</v>
      </c>
      <c r="K680" s="427" t="s">
        <v>25</v>
      </c>
      <c r="L680" s="208" t="e">
        <f>+L628</f>
        <v>#REF!</v>
      </c>
      <c r="M680" s="209" t="e">
        <f t="shared" ref="M680:M682" si="278">+J680*L680</f>
        <v>#REF!</v>
      </c>
    </row>
    <row r="681" spans="1:13">
      <c r="A681" s="205"/>
      <c r="B681" s="219" t="s">
        <v>43</v>
      </c>
      <c r="C681" s="219" t="e">
        <f>C668</f>
        <v>#REF!</v>
      </c>
      <c r="D681" s="427" t="s">
        <v>13</v>
      </c>
      <c r="E681" s="208" t="e">
        <f t="shared" ref="E681:E682" si="279">E668</f>
        <v>#REF!</v>
      </c>
      <c r="F681" s="209" t="e">
        <f t="shared" si="277"/>
        <v>#REF!</v>
      </c>
      <c r="H681" s="205"/>
      <c r="I681" s="219" t="s">
        <v>43</v>
      </c>
      <c r="J681" s="219" t="e">
        <f>#REF!</f>
        <v>#REF!</v>
      </c>
      <c r="K681" s="427" t="s">
        <v>13</v>
      </c>
      <c r="L681" s="216" t="e">
        <f>+L629</f>
        <v>#REF!</v>
      </c>
      <c r="M681" s="209" t="e">
        <f t="shared" si="278"/>
        <v>#REF!</v>
      </c>
    </row>
    <row r="682" spans="1:13">
      <c r="A682" s="205"/>
      <c r="B682" s="201" t="s">
        <v>14</v>
      </c>
      <c r="C682" s="219" t="e">
        <f>SUM(C681)*2</f>
        <v>#REF!</v>
      </c>
      <c r="D682" s="427" t="s">
        <v>15</v>
      </c>
      <c r="E682" s="208" t="e">
        <f t="shared" si="279"/>
        <v>#REF!</v>
      </c>
      <c r="F682" s="209" t="e">
        <f t="shared" si="277"/>
        <v>#REF!</v>
      </c>
      <c r="H682" s="205"/>
      <c r="I682" s="201" t="s">
        <v>14</v>
      </c>
      <c r="J682" s="219" t="e">
        <f>SUM(J681)*2</f>
        <v>#REF!</v>
      </c>
      <c r="K682" s="427" t="s">
        <v>15</v>
      </c>
      <c r="L682" s="208" t="e">
        <f>E682</f>
        <v>#REF!</v>
      </c>
      <c r="M682" s="209" t="e">
        <f t="shared" si="278"/>
        <v>#REF!</v>
      </c>
    </row>
    <row r="683" spans="1:13">
      <c r="A683" s="205"/>
      <c r="B683" s="330" t="s">
        <v>31</v>
      </c>
      <c r="C683" s="325" t="e">
        <f>C681</f>
        <v>#REF!</v>
      </c>
      <c r="D683" s="326" t="s">
        <v>36</v>
      </c>
      <c r="E683" s="327" t="e">
        <f>#REF!</f>
        <v>#REF!</v>
      </c>
      <c r="F683" s="328" t="e">
        <f t="shared" ref="F683:F685" si="280">C683*E683</f>
        <v>#REF!</v>
      </c>
      <c r="H683" s="205"/>
      <c r="I683" s="160" t="s">
        <v>31</v>
      </c>
      <c r="J683" s="170" t="e">
        <f>SUM(J681:J681)</f>
        <v>#REF!</v>
      </c>
      <c r="K683" s="159" t="s">
        <v>13</v>
      </c>
      <c r="L683" s="161" t="e">
        <f>#REF!</f>
        <v>#REF!</v>
      </c>
      <c r="M683" s="158" t="e">
        <f t="shared" ref="M683:M686" si="281">J683*L683</f>
        <v>#REF!</v>
      </c>
    </row>
    <row r="684" spans="1:13">
      <c r="A684" s="205"/>
      <c r="B684" s="330" t="s">
        <v>45</v>
      </c>
      <c r="C684" s="325">
        <f>1/(0.2*0.35)</f>
        <v>14.285714285714286</v>
      </c>
      <c r="D684" s="326" t="s">
        <v>36</v>
      </c>
      <c r="E684" s="327">
        <v>165.66</v>
      </c>
      <c r="F684" s="328">
        <f t="shared" si="280"/>
        <v>2366.5714285714284</v>
      </c>
      <c r="H684" s="205"/>
      <c r="I684" s="160" t="s">
        <v>882</v>
      </c>
      <c r="J684" s="170">
        <f>1/(0.4*0.3)</f>
        <v>8.3333333333333339</v>
      </c>
      <c r="K684" s="159" t="s">
        <v>36</v>
      </c>
      <c r="L684" s="161" t="e">
        <f>L512</f>
        <v>#REF!</v>
      </c>
      <c r="M684" s="158" t="e">
        <f t="shared" si="281"/>
        <v>#REF!</v>
      </c>
    </row>
    <row r="685" spans="1:13">
      <c r="A685" s="205"/>
      <c r="B685" s="330" t="s">
        <v>670</v>
      </c>
      <c r="C685" s="325">
        <f>(0.2+0.35)*C684</f>
        <v>7.8571428571428585</v>
      </c>
      <c r="D685" s="326" t="s">
        <v>11</v>
      </c>
      <c r="E685" s="327">
        <v>33.14</v>
      </c>
      <c r="F685" s="328">
        <f t="shared" si="280"/>
        <v>260.38571428571436</v>
      </c>
      <c r="H685" s="205"/>
      <c r="I685" s="160" t="s">
        <v>47</v>
      </c>
      <c r="J685" s="170">
        <v>1</v>
      </c>
      <c r="K685" s="159" t="s">
        <v>25</v>
      </c>
      <c r="L685" s="161" t="e">
        <f t="shared" ref="L685:L686" si="282">L513</f>
        <v>#REF!</v>
      </c>
      <c r="M685" s="158" t="e">
        <f t="shared" si="281"/>
        <v>#REF!</v>
      </c>
    </row>
    <row r="686" spans="1:13">
      <c r="A686" s="205"/>
      <c r="B686" s="330" t="s">
        <v>44</v>
      </c>
      <c r="C686" s="325">
        <v>1</v>
      </c>
      <c r="D686" s="326" t="s">
        <v>25</v>
      </c>
      <c r="E686" s="327" t="e">
        <f>E673</f>
        <v>#REF!</v>
      </c>
      <c r="F686" s="328"/>
      <c r="H686" s="205"/>
      <c r="I686" s="160" t="s">
        <v>7</v>
      </c>
      <c r="J686" s="170" t="e">
        <f>SUM(M680:M682)</f>
        <v>#REF!</v>
      </c>
      <c r="K686" s="159" t="s">
        <v>8</v>
      </c>
      <c r="L686" s="161" t="e">
        <f t="shared" si="282"/>
        <v>#REF!</v>
      </c>
      <c r="M686" s="158" t="e">
        <f t="shared" si="281"/>
        <v>#REF!</v>
      </c>
    </row>
    <row r="687" spans="1:13">
      <c r="A687" s="205"/>
      <c r="B687" s="330" t="s">
        <v>7</v>
      </c>
      <c r="C687" s="325" t="e">
        <f>SUM(F680:F682)</f>
        <v>#REF!</v>
      </c>
      <c r="D687" s="326" t="s">
        <v>8</v>
      </c>
      <c r="E687" s="327" t="e">
        <f>E674</f>
        <v>#REF!</v>
      </c>
      <c r="F687" s="328" t="e">
        <f t="shared" ref="F687" si="283">C687*E687</f>
        <v>#REF!</v>
      </c>
      <c r="H687" s="205"/>
      <c r="I687" s="201"/>
      <c r="J687" s="219"/>
      <c r="K687" s="427"/>
      <c r="L687" s="208"/>
      <c r="M687" s="209"/>
    </row>
    <row r="688" spans="1:13">
      <c r="A688" s="205"/>
      <c r="B688" s="210"/>
      <c r="C688" s="207"/>
      <c r="D688" s="428"/>
      <c r="E688" s="208"/>
      <c r="F688" s="209"/>
      <c r="H688" s="205"/>
      <c r="I688" s="210"/>
      <c r="J688" s="207"/>
      <c r="K688" s="428"/>
      <c r="L688" s="208"/>
      <c r="M688" s="209"/>
    </row>
    <row r="689" spans="1:13">
      <c r="A689" s="198"/>
      <c r="B689" s="198" t="s">
        <v>548</v>
      </c>
      <c r="C689" s="199"/>
      <c r="D689" s="426"/>
      <c r="E689" s="199"/>
      <c r="F689" s="197" t="e">
        <f>SUM(F680:F688)</f>
        <v>#REF!</v>
      </c>
      <c r="H689" s="198"/>
      <c r="I689" s="198" t="s">
        <v>548</v>
      </c>
      <c r="J689" s="199"/>
      <c r="K689" s="426"/>
      <c r="L689" s="199"/>
      <c r="M689" s="197" t="e">
        <f>SUM(M680:M688)</f>
        <v>#REF!</v>
      </c>
    </row>
    <row r="691" spans="1:13">
      <c r="A691" s="199"/>
      <c r="B691" s="364" t="s">
        <v>854</v>
      </c>
      <c r="C691" s="199"/>
      <c r="D691" s="426"/>
      <c r="E691" s="199"/>
      <c r="F691" s="199"/>
      <c r="H691" s="199"/>
      <c r="I691" s="364" t="s">
        <v>855</v>
      </c>
      <c r="J691" s="199"/>
      <c r="K691" s="426"/>
      <c r="L691" s="199"/>
      <c r="M691" s="199"/>
    </row>
    <row r="692" spans="1:13">
      <c r="A692" s="213"/>
      <c r="B692" s="214"/>
      <c r="C692" s="214"/>
      <c r="D692" s="429"/>
      <c r="E692" s="214"/>
      <c r="F692" s="215"/>
      <c r="H692" s="213"/>
      <c r="I692" s="214"/>
      <c r="J692" s="214"/>
      <c r="K692" s="429"/>
      <c r="L692" s="214"/>
      <c r="M692" s="215"/>
    </row>
    <row r="693" spans="1:13">
      <c r="A693" s="205"/>
      <c r="B693" s="219" t="s">
        <v>593</v>
      </c>
      <c r="C693" s="219">
        <v>1.05</v>
      </c>
      <c r="D693" s="427" t="s">
        <v>25</v>
      </c>
      <c r="E693" s="208" t="e">
        <f>E680</f>
        <v>#REF!</v>
      </c>
      <c r="F693" s="209" t="e">
        <f t="shared" ref="F693:F695" si="284">+C693*E693</f>
        <v>#REF!</v>
      </c>
      <c r="H693" s="205"/>
      <c r="I693" s="219" t="s">
        <v>593</v>
      </c>
      <c r="J693" s="219">
        <v>1.05</v>
      </c>
      <c r="K693" s="427" t="s">
        <v>25</v>
      </c>
      <c r="L693" s="208" t="e">
        <f>+L641</f>
        <v>#REF!</v>
      </c>
      <c r="M693" s="209" t="e">
        <f t="shared" ref="M693:M695" si="285">+J693*L693</f>
        <v>#REF!</v>
      </c>
    </row>
    <row r="694" spans="1:13">
      <c r="A694" s="205"/>
      <c r="B694" s="219" t="s">
        <v>43</v>
      </c>
      <c r="C694" s="219" t="e">
        <f>C681</f>
        <v>#REF!</v>
      </c>
      <c r="D694" s="427" t="s">
        <v>13</v>
      </c>
      <c r="E694" s="208" t="e">
        <f t="shared" ref="E694:E695" si="286">E681</f>
        <v>#REF!</v>
      </c>
      <c r="F694" s="209" t="e">
        <f t="shared" si="284"/>
        <v>#REF!</v>
      </c>
      <c r="H694" s="205"/>
      <c r="I694" s="219" t="s">
        <v>43</v>
      </c>
      <c r="J694" s="219" t="e">
        <f>J681</f>
        <v>#REF!</v>
      </c>
      <c r="K694" s="427" t="s">
        <v>13</v>
      </c>
      <c r="L694" s="216" t="e">
        <f>+L642</f>
        <v>#REF!</v>
      </c>
      <c r="M694" s="209" t="e">
        <f t="shared" si="285"/>
        <v>#REF!</v>
      </c>
    </row>
    <row r="695" spans="1:13">
      <c r="A695" s="205"/>
      <c r="B695" s="201" t="s">
        <v>14</v>
      </c>
      <c r="C695" s="219" t="e">
        <f>SUM(C694)*2</f>
        <v>#REF!</v>
      </c>
      <c r="D695" s="427" t="s">
        <v>15</v>
      </c>
      <c r="E695" s="208" t="e">
        <f t="shared" si="286"/>
        <v>#REF!</v>
      </c>
      <c r="F695" s="209" t="e">
        <f t="shared" si="284"/>
        <v>#REF!</v>
      </c>
      <c r="H695" s="205"/>
      <c r="I695" s="201" t="s">
        <v>14</v>
      </c>
      <c r="J695" s="219" t="e">
        <f>SUM(J694)*2</f>
        <v>#REF!</v>
      </c>
      <c r="K695" s="427" t="s">
        <v>15</v>
      </c>
      <c r="L695" s="208" t="e">
        <f>L682</f>
        <v>#REF!</v>
      </c>
      <c r="M695" s="209" t="e">
        <f t="shared" si="285"/>
        <v>#REF!</v>
      </c>
    </row>
    <row r="696" spans="1:13">
      <c r="A696" s="205"/>
      <c r="B696" s="330" t="s">
        <v>31</v>
      </c>
      <c r="C696" s="325" t="e">
        <f>C694</f>
        <v>#REF!</v>
      </c>
      <c r="D696" s="326" t="s">
        <v>36</v>
      </c>
      <c r="E696" s="327" t="e">
        <f>#REF!</f>
        <v>#REF!</v>
      </c>
      <c r="F696" s="328" t="e">
        <f t="shared" ref="F696:F698" si="287">C696*E696</f>
        <v>#REF!</v>
      </c>
      <c r="H696" s="205"/>
      <c r="I696" s="160" t="s">
        <v>31</v>
      </c>
      <c r="J696" s="170" t="e">
        <f>SUM(J694:J694)</f>
        <v>#REF!</v>
      </c>
      <c r="K696" s="159" t="s">
        <v>13</v>
      </c>
      <c r="L696" s="161" t="e">
        <f>#REF!</f>
        <v>#REF!</v>
      </c>
      <c r="M696" s="158" t="e">
        <f t="shared" ref="M696:M699" si="288">J696*L696</f>
        <v>#REF!</v>
      </c>
    </row>
    <row r="697" spans="1:13">
      <c r="A697" s="205"/>
      <c r="B697" s="330" t="s">
        <v>45</v>
      </c>
      <c r="C697" s="325">
        <f>1/(0.2*0.35)</f>
        <v>14.285714285714286</v>
      </c>
      <c r="D697" s="326" t="s">
        <v>36</v>
      </c>
      <c r="E697" s="327">
        <v>165.66</v>
      </c>
      <c r="F697" s="328">
        <f t="shared" si="287"/>
        <v>2366.5714285714284</v>
      </c>
      <c r="H697" s="205"/>
      <c r="I697" s="160" t="s">
        <v>882</v>
      </c>
      <c r="J697" s="170">
        <f>1/(0.4*0.3)</f>
        <v>8.3333333333333339</v>
      </c>
      <c r="K697" s="159" t="s">
        <v>36</v>
      </c>
      <c r="L697" s="161" t="e">
        <f>L684</f>
        <v>#REF!</v>
      </c>
      <c r="M697" s="158" t="e">
        <f t="shared" si="288"/>
        <v>#REF!</v>
      </c>
    </row>
    <row r="698" spans="1:13">
      <c r="A698" s="205"/>
      <c r="B698" s="330" t="s">
        <v>670</v>
      </c>
      <c r="C698" s="325">
        <f>(0.2+0.35)*C697</f>
        <v>7.8571428571428585</v>
      </c>
      <c r="D698" s="326" t="s">
        <v>11</v>
      </c>
      <c r="E698" s="327">
        <v>33.14</v>
      </c>
      <c r="F698" s="328">
        <f t="shared" si="287"/>
        <v>260.38571428571436</v>
      </c>
      <c r="H698" s="205"/>
      <c r="I698" s="160" t="s">
        <v>47</v>
      </c>
      <c r="J698" s="170">
        <v>1</v>
      </c>
      <c r="K698" s="159" t="s">
        <v>25</v>
      </c>
      <c r="L698" s="161" t="e">
        <f t="shared" ref="L698:L699" si="289">L685</f>
        <v>#REF!</v>
      </c>
      <c r="M698" s="158" t="e">
        <f t="shared" si="288"/>
        <v>#REF!</v>
      </c>
    </row>
    <row r="699" spans="1:13">
      <c r="A699" s="205"/>
      <c r="B699" s="330" t="s">
        <v>44</v>
      </c>
      <c r="C699" s="325">
        <v>1</v>
      </c>
      <c r="D699" s="326" t="s">
        <v>25</v>
      </c>
      <c r="E699" s="327" t="e">
        <f>E686</f>
        <v>#REF!</v>
      </c>
      <c r="F699" s="328"/>
      <c r="H699" s="205"/>
      <c r="I699" s="160" t="s">
        <v>7</v>
      </c>
      <c r="J699" s="170" t="e">
        <f>SUM(M693:M695)</f>
        <v>#REF!</v>
      </c>
      <c r="K699" s="159" t="s">
        <v>8</v>
      </c>
      <c r="L699" s="161" t="e">
        <f t="shared" si="289"/>
        <v>#REF!</v>
      </c>
      <c r="M699" s="158" t="e">
        <f t="shared" si="288"/>
        <v>#REF!</v>
      </c>
    </row>
    <row r="700" spans="1:13">
      <c r="A700" s="205"/>
      <c r="B700" s="330" t="s">
        <v>7</v>
      </c>
      <c r="C700" s="325" t="e">
        <f>SUM(F693:F695)</f>
        <v>#REF!</v>
      </c>
      <c r="D700" s="326" t="s">
        <v>8</v>
      </c>
      <c r="E700" s="327" t="e">
        <f>E687</f>
        <v>#REF!</v>
      </c>
      <c r="F700" s="328" t="e">
        <f t="shared" ref="F700" si="290">C700*E700</f>
        <v>#REF!</v>
      </c>
      <c r="H700" s="205"/>
      <c r="I700" s="201"/>
      <c r="J700" s="219"/>
      <c r="K700" s="427"/>
      <c r="L700" s="208"/>
      <c r="M700" s="209"/>
    </row>
    <row r="701" spans="1:13">
      <c r="A701" s="205"/>
      <c r="B701" s="210"/>
      <c r="C701" s="207"/>
      <c r="D701" s="428"/>
      <c r="E701" s="208"/>
      <c r="F701" s="209"/>
      <c r="H701" s="205"/>
      <c r="I701" s="210"/>
      <c r="J701" s="207"/>
      <c r="K701" s="428"/>
      <c r="L701" s="208"/>
      <c r="M701" s="209"/>
    </row>
    <row r="702" spans="1:13">
      <c r="A702" s="198"/>
      <c r="B702" s="198" t="s">
        <v>548</v>
      </c>
      <c r="C702" s="199"/>
      <c r="D702" s="426"/>
      <c r="E702" s="199"/>
      <c r="F702" s="197" t="e">
        <f>SUM(F693:F701)</f>
        <v>#REF!</v>
      </c>
      <c r="H702" s="198"/>
      <c r="I702" s="198" t="s">
        <v>548</v>
      </c>
      <c r="J702" s="199"/>
      <c r="K702" s="426"/>
      <c r="L702" s="199"/>
      <c r="M702" s="197" t="e">
        <f>SUM(M693:M701)</f>
        <v>#REF!</v>
      </c>
    </row>
    <row r="704" spans="1:13">
      <c r="A704" s="199"/>
      <c r="B704" s="364" t="s">
        <v>857</v>
      </c>
      <c r="C704" s="199" t="s">
        <v>592</v>
      </c>
      <c r="D704" s="426"/>
      <c r="E704" s="199"/>
      <c r="F704" s="199"/>
    </row>
    <row r="705" spans="1:13">
      <c r="A705" s="213"/>
      <c r="B705" s="214"/>
      <c r="C705" s="214"/>
      <c r="D705" s="429"/>
      <c r="E705" s="214"/>
      <c r="F705" s="215"/>
    </row>
    <row r="706" spans="1:13">
      <c r="A706" s="205"/>
      <c r="B706" s="219" t="s">
        <v>593</v>
      </c>
      <c r="C706" s="219">
        <v>1.05</v>
      </c>
      <c r="D706" s="427" t="s">
        <v>25</v>
      </c>
      <c r="E706" s="208">
        <v>5980</v>
      </c>
      <c r="F706" s="209">
        <f t="shared" ref="F706:F708" si="291">+C706*E706</f>
        <v>6279</v>
      </c>
    </row>
    <row r="707" spans="1:13">
      <c r="A707" s="205"/>
      <c r="B707" s="219" t="s">
        <v>43</v>
      </c>
      <c r="C707" s="219" t="e">
        <f>#REF!</f>
        <v>#REF!</v>
      </c>
      <c r="D707" s="427" t="s">
        <v>13</v>
      </c>
      <c r="E707" s="216">
        <v>2270.68345323741</v>
      </c>
      <c r="F707" s="209" t="e">
        <f t="shared" si="291"/>
        <v>#REF!</v>
      </c>
    </row>
    <row r="708" spans="1:13">
      <c r="A708" s="205"/>
      <c r="B708" s="201" t="s">
        <v>14</v>
      </c>
      <c r="C708" s="219" t="e">
        <f>SUM(C707)*2</f>
        <v>#REF!</v>
      </c>
      <c r="D708" s="427" t="s">
        <v>15</v>
      </c>
      <c r="E708" s="208">
        <v>52</v>
      </c>
      <c r="F708" s="209" t="e">
        <f t="shared" si="291"/>
        <v>#REF!</v>
      </c>
    </row>
    <row r="709" spans="1:13">
      <c r="A709" s="205"/>
      <c r="B709" s="160" t="s">
        <v>31</v>
      </c>
      <c r="C709" s="170" t="e">
        <f>SUM(C707:C707)</f>
        <v>#REF!</v>
      </c>
      <c r="D709" s="159" t="s">
        <v>13</v>
      </c>
      <c r="E709" s="161" t="e">
        <f>#REF!</f>
        <v>#REF!</v>
      </c>
      <c r="F709" s="158" t="e">
        <f t="shared" ref="F709:F712" si="292">C709*E709</f>
        <v>#REF!</v>
      </c>
    </row>
    <row r="710" spans="1:13">
      <c r="A710" s="205"/>
      <c r="B710" s="160" t="s">
        <v>882</v>
      </c>
      <c r="C710" s="170">
        <f>1/(0.4*0.3)</f>
        <v>8.3333333333333339</v>
      </c>
      <c r="D710" s="159" t="s">
        <v>36</v>
      </c>
      <c r="E710" s="161" t="e">
        <f>L697</f>
        <v>#REF!</v>
      </c>
      <c r="F710" s="158" t="e">
        <f t="shared" si="292"/>
        <v>#REF!</v>
      </c>
    </row>
    <row r="711" spans="1:13">
      <c r="A711" s="205"/>
      <c r="B711" s="160" t="s">
        <v>47</v>
      </c>
      <c r="C711" s="170">
        <v>1</v>
      </c>
      <c r="D711" s="159" t="s">
        <v>25</v>
      </c>
      <c r="E711" s="161" t="e">
        <f t="shared" ref="E711:E712" si="293">L698</f>
        <v>#REF!</v>
      </c>
      <c r="F711" s="158" t="e">
        <f t="shared" si="292"/>
        <v>#REF!</v>
      </c>
    </row>
    <row r="712" spans="1:13">
      <c r="A712" s="205"/>
      <c r="B712" s="160" t="s">
        <v>7</v>
      </c>
      <c r="C712" s="170" t="e">
        <f>SUM(F706:F708)</f>
        <v>#REF!</v>
      </c>
      <c r="D712" s="159" t="s">
        <v>8</v>
      </c>
      <c r="E712" s="161" t="e">
        <f t="shared" si="293"/>
        <v>#REF!</v>
      </c>
      <c r="F712" s="158" t="e">
        <f t="shared" si="292"/>
        <v>#REF!</v>
      </c>
      <c r="H712" s="199"/>
      <c r="I712" s="364" t="s">
        <v>985</v>
      </c>
      <c r="J712" s="199"/>
      <c r="K712" s="426"/>
      <c r="L712" s="199"/>
      <c r="M712" s="199"/>
    </row>
    <row r="713" spans="1:13">
      <c r="A713" s="205"/>
      <c r="B713" s="201"/>
      <c r="C713" s="219"/>
      <c r="D713" s="427"/>
      <c r="E713" s="208"/>
      <c r="F713" s="209"/>
      <c r="H713" s="213"/>
      <c r="I713" s="214"/>
      <c r="J713" s="214"/>
      <c r="K713" s="429"/>
      <c r="L713" s="214"/>
      <c r="M713" s="215"/>
    </row>
    <row r="714" spans="1:13">
      <c r="A714" s="205"/>
      <c r="B714" s="210"/>
      <c r="C714" s="207"/>
      <c r="D714" s="428"/>
      <c r="E714" s="208"/>
      <c r="F714" s="209"/>
      <c r="H714" s="205"/>
      <c r="I714" s="219" t="s">
        <v>593</v>
      </c>
      <c r="J714" s="219">
        <v>1.05</v>
      </c>
      <c r="K714" s="427" t="s">
        <v>25</v>
      </c>
      <c r="L714" s="208" t="e">
        <f>E693</f>
        <v>#REF!</v>
      </c>
      <c r="M714" s="209" t="e">
        <f t="shared" ref="M714:M716" si="294">+J714*L714</f>
        <v>#REF!</v>
      </c>
    </row>
    <row r="715" spans="1:13">
      <c r="A715" s="198"/>
      <c r="B715" s="198" t="s">
        <v>548</v>
      </c>
      <c r="C715" s="199"/>
      <c r="D715" s="426"/>
      <c r="E715" s="199"/>
      <c r="F715" s="197" t="e">
        <f>SUM(F706:F714)</f>
        <v>#REF!</v>
      </c>
      <c r="H715" s="205"/>
      <c r="I715" s="219" t="s">
        <v>43</v>
      </c>
      <c r="J715" s="219" t="e">
        <f>#REF!</f>
        <v>#REF!</v>
      </c>
      <c r="K715" s="427" t="s">
        <v>13</v>
      </c>
      <c r="L715" s="208" t="e">
        <f t="shared" ref="L715:L716" si="295">E694</f>
        <v>#REF!</v>
      </c>
      <c r="M715" s="209" t="e">
        <f t="shared" si="294"/>
        <v>#REF!</v>
      </c>
    </row>
    <row r="716" spans="1:13">
      <c r="H716" s="205"/>
      <c r="I716" s="201" t="s">
        <v>14</v>
      </c>
      <c r="J716" s="219" t="e">
        <f>SUM(J715)*2</f>
        <v>#REF!</v>
      </c>
      <c r="K716" s="427" t="s">
        <v>15</v>
      </c>
      <c r="L716" s="208" t="e">
        <f t="shared" si="295"/>
        <v>#REF!</v>
      </c>
      <c r="M716" s="209" t="e">
        <f t="shared" si="294"/>
        <v>#REF!</v>
      </c>
    </row>
    <row r="717" spans="1:13">
      <c r="A717" s="199"/>
      <c r="B717" s="364" t="s">
        <v>858</v>
      </c>
      <c r="C717" s="199" t="s">
        <v>592</v>
      </c>
      <c r="D717" s="426"/>
      <c r="E717" s="199"/>
      <c r="F717" s="199"/>
      <c r="H717" s="205"/>
      <c r="I717" s="330" t="s">
        <v>31</v>
      </c>
      <c r="J717" s="325" t="e">
        <f>J715</f>
        <v>#REF!</v>
      </c>
      <c r="K717" s="326" t="s">
        <v>36</v>
      </c>
      <c r="L717" s="208" t="e">
        <f>#REF!</f>
        <v>#REF!</v>
      </c>
      <c r="M717" s="328" t="e">
        <f t="shared" ref="M717:M719" si="296">J717*L717</f>
        <v>#REF!</v>
      </c>
    </row>
    <row r="718" spans="1:13">
      <c r="A718" s="213"/>
      <c r="B718" s="214"/>
      <c r="C718" s="214"/>
      <c r="D718" s="429"/>
      <c r="E718" s="214"/>
      <c r="F718" s="215"/>
      <c r="H718" s="205"/>
      <c r="I718" s="330" t="s">
        <v>986</v>
      </c>
      <c r="J718" s="325">
        <f>1/(0.2*0.4)</f>
        <v>12.499999999999998</v>
      </c>
      <c r="K718" s="326" t="s">
        <v>36</v>
      </c>
      <c r="L718" s="327">
        <f>E697</f>
        <v>165.66</v>
      </c>
      <c r="M718" s="328">
        <f t="shared" si="296"/>
        <v>2070.7499999999995</v>
      </c>
    </row>
    <row r="719" spans="1:13">
      <c r="A719" s="205"/>
      <c r="B719" s="219" t="s">
        <v>593</v>
      </c>
      <c r="C719" s="219">
        <v>1.05</v>
      </c>
      <c r="D719" s="427" t="s">
        <v>25</v>
      </c>
      <c r="E719" s="208" t="e">
        <f>E752</f>
        <v>#REF!</v>
      </c>
      <c r="F719" s="209" t="e">
        <f t="shared" ref="F719:F721" si="297">+C719*E719</f>
        <v>#REF!</v>
      </c>
      <c r="H719" s="205"/>
      <c r="I719" s="330" t="s">
        <v>670</v>
      </c>
      <c r="J719" s="325">
        <f>(0.2+0.4)*J718</f>
        <v>7.5</v>
      </c>
      <c r="K719" s="326" t="s">
        <v>11</v>
      </c>
      <c r="L719" s="327">
        <v>33.14</v>
      </c>
      <c r="M719" s="328">
        <f t="shared" si="296"/>
        <v>248.55</v>
      </c>
    </row>
    <row r="720" spans="1:13">
      <c r="A720" s="205"/>
      <c r="B720" s="219" t="s">
        <v>43</v>
      </c>
      <c r="C720" s="219" t="e">
        <f>C707</f>
        <v>#REF!</v>
      </c>
      <c r="D720" s="427" t="s">
        <v>13</v>
      </c>
      <c r="E720" s="216" t="e">
        <f>E753</f>
        <v>#REF!</v>
      </c>
      <c r="F720" s="209" t="e">
        <f t="shared" si="297"/>
        <v>#REF!</v>
      </c>
      <c r="H720" s="205"/>
      <c r="I720" s="330" t="s">
        <v>44</v>
      </c>
      <c r="J720" s="325">
        <v>1</v>
      </c>
      <c r="K720" s="326" t="s">
        <v>25</v>
      </c>
      <c r="L720" s="327" t="e">
        <f>E711</f>
        <v>#REF!</v>
      </c>
      <c r="M720" s="328" t="e">
        <f>J720*L720</f>
        <v>#REF!</v>
      </c>
    </row>
    <row r="721" spans="1:13">
      <c r="A721" s="205"/>
      <c r="B721" s="201" t="s">
        <v>14</v>
      </c>
      <c r="C721" s="219" t="e">
        <f>SUM(C720)*2</f>
        <v>#REF!</v>
      </c>
      <c r="D721" s="427" t="s">
        <v>15</v>
      </c>
      <c r="E721" s="208" t="e">
        <f>E754</f>
        <v>#REF!</v>
      </c>
      <c r="F721" s="209" t="e">
        <f t="shared" si="297"/>
        <v>#REF!</v>
      </c>
      <c r="H721" s="205"/>
      <c r="I721" s="330" t="s">
        <v>7</v>
      </c>
      <c r="J721" s="325" t="e">
        <f>SUM(M714:M716)</f>
        <v>#REF!</v>
      </c>
      <c r="K721" s="326" t="s">
        <v>8</v>
      </c>
      <c r="L721" s="327" t="e">
        <f>E725</f>
        <v>#REF!</v>
      </c>
      <c r="M721" s="328" t="e">
        <f t="shared" ref="M721" si="298">J721*L721</f>
        <v>#REF!</v>
      </c>
    </row>
    <row r="722" spans="1:13">
      <c r="A722" s="205"/>
      <c r="B722" s="160" t="s">
        <v>31</v>
      </c>
      <c r="C722" s="170" t="e">
        <f>SUM(C720:C720)</f>
        <v>#REF!</v>
      </c>
      <c r="D722" s="159" t="s">
        <v>13</v>
      </c>
      <c r="E722" s="161" t="e">
        <f>#REF!</f>
        <v>#REF!</v>
      </c>
      <c r="F722" s="158" t="e">
        <f t="shared" ref="F722:F725" si="299">C722*E722</f>
        <v>#REF!</v>
      </c>
      <c r="H722" s="205"/>
      <c r="I722" s="210"/>
      <c r="J722" s="207"/>
      <c r="K722" s="428"/>
      <c r="L722" s="208"/>
      <c r="M722" s="209"/>
    </row>
    <row r="723" spans="1:13">
      <c r="A723" s="205"/>
      <c r="B723" s="160" t="s">
        <v>882</v>
      </c>
      <c r="C723" s="170">
        <f>1/(0.4*0.3)</f>
        <v>8.3333333333333339</v>
      </c>
      <c r="D723" s="159" t="s">
        <v>36</v>
      </c>
      <c r="E723" s="161" t="e">
        <f>E710</f>
        <v>#REF!</v>
      </c>
      <c r="F723" s="158" t="e">
        <f t="shared" si="299"/>
        <v>#REF!</v>
      </c>
      <c r="H723" s="198"/>
      <c r="I723" s="198" t="s">
        <v>548</v>
      </c>
      <c r="J723" s="199"/>
      <c r="K723" s="426"/>
      <c r="L723" s="199"/>
      <c r="M723" s="197" t="e">
        <f>SUM(M714:M722)</f>
        <v>#REF!</v>
      </c>
    </row>
    <row r="724" spans="1:13">
      <c r="A724" s="205"/>
      <c r="B724" s="160" t="s">
        <v>47</v>
      </c>
      <c r="C724" s="170">
        <v>1</v>
      </c>
      <c r="D724" s="159" t="s">
        <v>25</v>
      </c>
      <c r="E724" s="161" t="e">
        <f t="shared" ref="E724:E725" si="300">E711</f>
        <v>#REF!</v>
      </c>
      <c r="F724" s="158" t="e">
        <f t="shared" si="299"/>
        <v>#REF!</v>
      </c>
    </row>
    <row r="725" spans="1:13">
      <c r="A725" s="205"/>
      <c r="B725" s="160" t="s">
        <v>7</v>
      </c>
      <c r="C725" s="170" t="e">
        <f>SUM(F719:F721)</f>
        <v>#REF!</v>
      </c>
      <c r="D725" s="159" t="s">
        <v>8</v>
      </c>
      <c r="E725" s="161" t="e">
        <f t="shared" si="300"/>
        <v>#REF!</v>
      </c>
      <c r="F725" s="158" t="e">
        <f t="shared" si="299"/>
        <v>#REF!</v>
      </c>
    </row>
    <row r="726" spans="1:13">
      <c r="A726" s="205"/>
      <c r="B726" s="201"/>
      <c r="C726" s="219"/>
      <c r="D726" s="427"/>
      <c r="E726" s="208"/>
      <c r="F726" s="209"/>
    </row>
    <row r="727" spans="1:13">
      <c r="A727" s="205"/>
      <c r="B727" s="210"/>
      <c r="C727" s="207"/>
      <c r="D727" s="428"/>
      <c r="E727" s="208"/>
      <c r="F727" s="209"/>
    </row>
    <row r="728" spans="1:13">
      <c r="A728" s="198"/>
      <c r="B728" s="198" t="s">
        <v>548</v>
      </c>
      <c r="C728" s="199"/>
      <c r="D728" s="426"/>
      <c r="E728" s="199"/>
      <c r="F728" s="197" t="e">
        <f>SUM(F719:F727)</f>
        <v>#REF!</v>
      </c>
      <c r="H728" s="199"/>
      <c r="I728" s="364" t="s">
        <v>987</v>
      </c>
      <c r="J728" s="199"/>
      <c r="K728" s="426"/>
      <c r="L728" s="199"/>
      <c r="M728" s="199"/>
    </row>
    <row r="729" spans="1:13">
      <c r="H729" s="213"/>
      <c r="I729" s="214"/>
      <c r="J729" s="214"/>
      <c r="K729" s="429"/>
      <c r="L729" s="214"/>
      <c r="M729" s="215"/>
    </row>
    <row r="730" spans="1:13">
      <c r="H730" s="205"/>
      <c r="I730" s="219" t="s">
        <v>593</v>
      </c>
      <c r="J730" s="219">
        <v>1.05</v>
      </c>
      <c r="K730" s="427" t="s">
        <v>25</v>
      </c>
      <c r="L730" s="208" t="e">
        <f>L714</f>
        <v>#REF!</v>
      </c>
      <c r="M730" s="209" t="e">
        <f t="shared" ref="M730:M732" si="301">+J730*L730</f>
        <v>#REF!</v>
      </c>
    </row>
    <row r="731" spans="1:13">
      <c r="A731" s="199"/>
      <c r="B731" s="364" t="s">
        <v>988</v>
      </c>
      <c r="C731" s="199"/>
      <c r="D731" s="426"/>
      <c r="E731" s="199"/>
      <c r="F731" s="199"/>
      <c r="H731" s="205"/>
      <c r="I731" s="219" t="s">
        <v>43</v>
      </c>
      <c r="J731" s="219" t="e">
        <f>J715</f>
        <v>#REF!</v>
      </c>
      <c r="K731" s="427" t="s">
        <v>13</v>
      </c>
      <c r="L731" s="208" t="e">
        <f t="shared" ref="L731:L737" si="302">L715</f>
        <v>#REF!</v>
      </c>
      <c r="M731" s="209" t="e">
        <f t="shared" si="301"/>
        <v>#REF!</v>
      </c>
    </row>
    <row r="732" spans="1:13">
      <c r="A732" s="213"/>
      <c r="B732" s="214"/>
      <c r="C732" s="214"/>
      <c r="D732" s="429"/>
      <c r="E732" s="214"/>
      <c r="F732" s="215"/>
      <c r="H732" s="205"/>
      <c r="I732" s="201" t="s">
        <v>14</v>
      </c>
      <c r="J732" s="219" t="e">
        <f>SUM(J731)*2</f>
        <v>#REF!</v>
      </c>
      <c r="K732" s="427" t="s">
        <v>15</v>
      </c>
      <c r="L732" s="208" t="e">
        <f t="shared" si="302"/>
        <v>#REF!</v>
      </c>
      <c r="M732" s="209" t="e">
        <f t="shared" si="301"/>
        <v>#REF!</v>
      </c>
    </row>
    <row r="733" spans="1:13">
      <c r="A733" s="205"/>
      <c r="B733" s="219" t="s">
        <v>593</v>
      </c>
      <c r="C733" s="219">
        <v>1.05</v>
      </c>
      <c r="D733" s="427" t="s">
        <v>25</v>
      </c>
      <c r="E733" s="208" t="e">
        <f>L730</f>
        <v>#REF!</v>
      </c>
      <c r="F733" s="209" t="e">
        <f t="shared" ref="F733:F735" si="303">+C733*E733</f>
        <v>#REF!</v>
      </c>
      <c r="H733" s="205"/>
      <c r="I733" s="330" t="s">
        <v>31</v>
      </c>
      <c r="J733" s="325" t="e">
        <f>J731</f>
        <v>#REF!</v>
      </c>
      <c r="K733" s="326" t="s">
        <v>36</v>
      </c>
      <c r="L733" s="208" t="e">
        <f>#REF!</f>
        <v>#REF!</v>
      </c>
      <c r="M733" s="328" t="e">
        <f t="shared" ref="M733:M735" si="304">J733*L733</f>
        <v>#REF!</v>
      </c>
    </row>
    <row r="734" spans="1:13">
      <c r="A734" s="205"/>
      <c r="B734" s="219" t="s">
        <v>43</v>
      </c>
      <c r="C734" s="219" t="e">
        <f>J731</f>
        <v>#REF!</v>
      </c>
      <c r="D734" s="427" t="s">
        <v>13</v>
      </c>
      <c r="E734" s="208" t="e">
        <f t="shared" ref="E734:E740" si="305">L731</f>
        <v>#REF!</v>
      </c>
      <c r="F734" s="209" t="e">
        <f t="shared" si="303"/>
        <v>#REF!</v>
      </c>
      <c r="H734" s="205"/>
      <c r="I734" s="330" t="s">
        <v>986</v>
      </c>
      <c r="J734" s="325">
        <f>1/(0.2*0.4)</f>
        <v>12.499999999999998</v>
      </c>
      <c r="K734" s="326" t="s">
        <v>36</v>
      </c>
      <c r="L734" s="208">
        <f t="shared" si="302"/>
        <v>165.66</v>
      </c>
      <c r="M734" s="328">
        <f t="shared" si="304"/>
        <v>2070.7499999999995</v>
      </c>
    </row>
    <row r="735" spans="1:13">
      <c r="A735" s="205"/>
      <c r="B735" s="201" t="s">
        <v>14</v>
      </c>
      <c r="C735" s="219" t="e">
        <f>SUM(C734)*2</f>
        <v>#REF!</v>
      </c>
      <c r="D735" s="427" t="s">
        <v>15</v>
      </c>
      <c r="E735" s="208" t="e">
        <f t="shared" si="305"/>
        <v>#REF!</v>
      </c>
      <c r="F735" s="209" t="e">
        <f t="shared" si="303"/>
        <v>#REF!</v>
      </c>
      <c r="H735" s="205"/>
      <c r="I735" s="330" t="s">
        <v>670</v>
      </c>
      <c r="J735" s="325">
        <f>(0.2+0.35)*J734</f>
        <v>6.875</v>
      </c>
      <c r="K735" s="326" t="s">
        <v>11</v>
      </c>
      <c r="L735" s="208">
        <f t="shared" si="302"/>
        <v>33.14</v>
      </c>
      <c r="M735" s="328">
        <f t="shared" si="304"/>
        <v>227.83750000000001</v>
      </c>
    </row>
    <row r="736" spans="1:13">
      <c r="A736" s="205"/>
      <c r="B736" s="330" t="s">
        <v>31</v>
      </c>
      <c r="C736" s="325" t="e">
        <f>C734</f>
        <v>#REF!</v>
      </c>
      <c r="D736" s="326" t="s">
        <v>36</v>
      </c>
      <c r="E736" s="208" t="e">
        <f>#REF!</f>
        <v>#REF!</v>
      </c>
      <c r="F736" s="328" t="e">
        <f t="shared" ref="F736:F738" si="306">C736*E736</f>
        <v>#REF!</v>
      </c>
      <c r="H736" s="205"/>
      <c r="I736" s="330" t="s">
        <v>44</v>
      </c>
      <c r="J736" s="325">
        <v>1</v>
      </c>
      <c r="K736" s="326" t="s">
        <v>25</v>
      </c>
      <c r="L736" s="208" t="e">
        <f t="shared" si="302"/>
        <v>#REF!</v>
      </c>
      <c r="M736" s="328" t="e">
        <f>J736*L736</f>
        <v>#REF!</v>
      </c>
    </row>
    <row r="737" spans="1:13">
      <c r="A737" s="205"/>
      <c r="B737" s="330" t="s">
        <v>986</v>
      </c>
      <c r="C737" s="325">
        <f>1/(0.2*0.4)</f>
        <v>12.499999999999998</v>
      </c>
      <c r="D737" s="326" t="s">
        <v>36</v>
      </c>
      <c r="E737" s="208">
        <f t="shared" si="305"/>
        <v>165.66</v>
      </c>
      <c r="F737" s="328">
        <f t="shared" si="306"/>
        <v>2070.7499999999995</v>
      </c>
      <c r="H737" s="205"/>
      <c r="I737" s="330" t="s">
        <v>7</v>
      </c>
      <c r="J737" s="325" t="e">
        <f>SUM(M730:M732)</f>
        <v>#REF!</v>
      </c>
      <c r="K737" s="326" t="s">
        <v>8</v>
      </c>
      <c r="L737" s="208" t="e">
        <f t="shared" si="302"/>
        <v>#REF!</v>
      </c>
      <c r="M737" s="328" t="e">
        <f t="shared" ref="M737" si="307">J737*L737</f>
        <v>#REF!</v>
      </c>
    </row>
    <row r="738" spans="1:13">
      <c r="A738" s="205"/>
      <c r="B738" s="330" t="s">
        <v>670</v>
      </c>
      <c r="C738" s="325">
        <f>(0.2+0.35)*C737</f>
        <v>6.875</v>
      </c>
      <c r="D738" s="326" t="s">
        <v>11</v>
      </c>
      <c r="E738" s="208">
        <f t="shared" si="305"/>
        <v>33.14</v>
      </c>
      <c r="F738" s="328">
        <f t="shared" si="306"/>
        <v>227.83750000000001</v>
      </c>
      <c r="H738" s="205"/>
      <c r="I738" s="210"/>
      <c r="J738" s="207"/>
      <c r="K738" s="428"/>
      <c r="L738" s="208"/>
      <c r="M738" s="209"/>
    </row>
    <row r="739" spans="1:13">
      <c r="A739" s="205"/>
      <c r="B739" s="330" t="s">
        <v>44</v>
      </c>
      <c r="C739" s="325">
        <v>1</v>
      </c>
      <c r="D739" s="326" t="s">
        <v>25</v>
      </c>
      <c r="E739" s="208" t="e">
        <f t="shared" si="305"/>
        <v>#REF!</v>
      </c>
      <c r="F739" s="328" t="e">
        <f>C739*E739</f>
        <v>#REF!</v>
      </c>
      <c r="H739" s="198"/>
      <c r="I739" s="198" t="s">
        <v>548</v>
      </c>
      <c r="J739" s="199"/>
      <c r="K739" s="426"/>
      <c r="L739" s="199"/>
      <c r="M739" s="197" t="e">
        <f>SUM(M730:M738)</f>
        <v>#REF!</v>
      </c>
    </row>
    <row r="740" spans="1:13">
      <c r="A740" s="205"/>
      <c r="B740" s="330" t="s">
        <v>7</v>
      </c>
      <c r="C740" s="325" t="e">
        <f>SUM(F733:F735)</f>
        <v>#REF!</v>
      </c>
      <c r="D740" s="326" t="s">
        <v>8</v>
      </c>
      <c r="E740" s="208" t="e">
        <f t="shared" si="305"/>
        <v>#REF!</v>
      </c>
      <c r="F740" s="328" t="e">
        <f t="shared" ref="F740" si="308">C740*E740</f>
        <v>#REF!</v>
      </c>
    </row>
    <row r="741" spans="1:13">
      <c r="A741" s="205"/>
      <c r="B741" s="210"/>
      <c r="C741" s="207"/>
      <c r="D741" s="428"/>
      <c r="E741" s="208"/>
      <c r="F741" s="209"/>
    </row>
    <row r="742" spans="1:13">
      <c r="A742" s="198"/>
      <c r="B742" s="198" t="s">
        <v>548</v>
      </c>
      <c r="C742" s="199"/>
      <c r="D742" s="426"/>
      <c r="E742" s="199"/>
      <c r="F742" s="197" t="e">
        <f>SUM(F733:F741)</f>
        <v>#REF!</v>
      </c>
    </row>
    <row r="750" spans="1:13">
      <c r="A750" s="199"/>
      <c r="B750" s="364" t="s">
        <v>865</v>
      </c>
      <c r="C750" s="199"/>
      <c r="D750" s="426"/>
      <c r="E750" s="199"/>
      <c r="F750" s="199"/>
      <c r="H750" s="199"/>
      <c r="I750" s="364" t="s">
        <v>767</v>
      </c>
      <c r="J750" s="199" t="s">
        <v>592</v>
      </c>
      <c r="K750" s="426"/>
      <c r="L750" s="199"/>
      <c r="M750" s="199"/>
    </row>
    <row r="751" spans="1:13">
      <c r="A751" s="213"/>
      <c r="B751" s="214"/>
      <c r="C751" s="214"/>
      <c r="D751" s="429"/>
      <c r="E751" s="214"/>
      <c r="F751" s="215"/>
      <c r="H751" s="213"/>
      <c r="I751" s="214"/>
      <c r="J751" s="214"/>
      <c r="K751" s="429"/>
      <c r="L751" s="214"/>
      <c r="M751" s="215"/>
    </row>
    <row r="752" spans="1:13">
      <c r="A752" s="205"/>
      <c r="B752" s="219" t="s">
        <v>593</v>
      </c>
      <c r="C752" s="219">
        <f>0.12*0.4*1.05</f>
        <v>5.04E-2</v>
      </c>
      <c r="D752" s="427" t="s">
        <v>25</v>
      </c>
      <c r="E752" s="208" t="e">
        <f>#REF!</f>
        <v>#REF!</v>
      </c>
      <c r="F752" s="209" t="e">
        <f t="shared" ref="F752:F759" si="309">+C752*E752</f>
        <v>#REF!</v>
      </c>
      <c r="H752" s="205"/>
      <c r="I752" s="219" t="s">
        <v>593</v>
      </c>
      <c r="J752" s="219">
        <f>0.15*1.4*1.05</f>
        <v>0.2205</v>
      </c>
      <c r="K752" s="427" t="s">
        <v>25</v>
      </c>
      <c r="L752" s="208" t="e">
        <f>E752</f>
        <v>#REF!</v>
      </c>
      <c r="M752" s="209" t="e">
        <f t="shared" ref="M752:M759" si="310">+J752*L752</f>
        <v>#REF!</v>
      </c>
    </row>
    <row r="753" spans="1:13">
      <c r="A753" s="205"/>
      <c r="B753" s="219" t="s">
        <v>43</v>
      </c>
      <c r="C753" s="365" t="e">
        <f>#REF!</f>
        <v>#REF!</v>
      </c>
      <c r="D753" s="427" t="s">
        <v>13</v>
      </c>
      <c r="E753" s="216" t="e">
        <f>#REF!</f>
        <v>#REF!</v>
      </c>
      <c r="F753" s="209" t="e">
        <f t="shared" si="309"/>
        <v>#REF!</v>
      </c>
      <c r="H753" s="205"/>
      <c r="I753" s="219" t="s">
        <v>43</v>
      </c>
      <c r="J753" s="365" t="e">
        <f>#REF!</f>
        <v>#REF!</v>
      </c>
      <c r="K753" s="427" t="s">
        <v>13</v>
      </c>
      <c r="L753" s="208" t="e">
        <f t="shared" ref="L753:L756" si="311">E753</f>
        <v>#REF!</v>
      </c>
      <c r="M753" s="209" t="e">
        <f t="shared" si="310"/>
        <v>#REF!</v>
      </c>
    </row>
    <row r="754" spans="1:13">
      <c r="A754" s="205"/>
      <c r="B754" s="201" t="s">
        <v>14</v>
      </c>
      <c r="C754" s="219" t="e">
        <f>SUM(C753)*2</f>
        <v>#REF!</v>
      </c>
      <c r="D754" s="427" t="s">
        <v>15</v>
      </c>
      <c r="E754" s="208" t="e">
        <f>#REF!</f>
        <v>#REF!</v>
      </c>
      <c r="F754" s="209" t="e">
        <f t="shared" si="309"/>
        <v>#REF!</v>
      </c>
      <c r="H754" s="205"/>
      <c r="I754" s="201" t="s">
        <v>14</v>
      </c>
      <c r="J754" s="219" t="e">
        <f>SUM(J753)*2</f>
        <v>#REF!</v>
      </c>
      <c r="K754" s="427" t="s">
        <v>15</v>
      </c>
      <c r="L754" s="208" t="e">
        <f t="shared" si="311"/>
        <v>#REF!</v>
      </c>
      <c r="M754" s="209" t="e">
        <f t="shared" si="310"/>
        <v>#REF!</v>
      </c>
    </row>
    <row r="755" spans="1:13">
      <c r="A755" s="205"/>
      <c r="B755" s="201" t="s">
        <v>599</v>
      </c>
      <c r="C755" s="219">
        <f>+C757*0.5</f>
        <v>4.166666666666667</v>
      </c>
      <c r="D755" s="427" t="s">
        <v>15</v>
      </c>
      <c r="E755" s="208" t="e">
        <f>#REF!</f>
        <v>#REF!</v>
      </c>
      <c r="F755" s="209" t="e">
        <f t="shared" si="309"/>
        <v>#REF!</v>
      </c>
      <c r="H755" s="205"/>
      <c r="I755" s="201" t="s">
        <v>599</v>
      </c>
      <c r="J755" s="219">
        <f>+J757*0.5</f>
        <v>3.3333333333333335</v>
      </c>
      <c r="K755" s="427" t="s">
        <v>15</v>
      </c>
      <c r="L755" s="208" t="e">
        <f t="shared" si="311"/>
        <v>#REF!</v>
      </c>
      <c r="M755" s="209" t="e">
        <f t="shared" si="310"/>
        <v>#REF!</v>
      </c>
    </row>
    <row r="756" spans="1:13">
      <c r="A756" s="205"/>
      <c r="B756" s="201" t="s">
        <v>600</v>
      </c>
      <c r="C756" s="219">
        <f>+C755/2</f>
        <v>2.0833333333333335</v>
      </c>
      <c r="D756" s="427" t="s">
        <v>15</v>
      </c>
      <c r="E756" s="208" t="e">
        <f>#REF!</f>
        <v>#REF!</v>
      </c>
      <c r="F756" s="209" t="e">
        <f t="shared" si="309"/>
        <v>#REF!</v>
      </c>
      <c r="H756" s="205"/>
      <c r="I756" s="201" t="s">
        <v>600</v>
      </c>
      <c r="J756" s="219">
        <f>+J755/2</f>
        <v>1.6666666666666667</v>
      </c>
      <c r="K756" s="427" t="s">
        <v>15</v>
      </c>
      <c r="L756" s="208" t="e">
        <f t="shared" si="311"/>
        <v>#REF!</v>
      </c>
      <c r="M756" s="209" t="e">
        <f t="shared" si="310"/>
        <v>#REF!</v>
      </c>
    </row>
    <row r="757" spans="1:13">
      <c r="A757" s="205"/>
      <c r="B757" s="201" t="s">
        <v>602</v>
      </c>
      <c r="C757" s="365">
        <f>1/0.12</f>
        <v>8.3333333333333339</v>
      </c>
      <c r="D757" s="427" t="s">
        <v>36</v>
      </c>
      <c r="E757" s="391" t="e">
        <f>#REF!</f>
        <v>#REF!</v>
      </c>
      <c r="F757" s="209" t="e">
        <f t="shared" si="309"/>
        <v>#REF!</v>
      </c>
      <c r="H757" s="205"/>
      <c r="I757" s="201" t="s">
        <v>601</v>
      </c>
      <c r="J757" s="365">
        <f>1/0.15</f>
        <v>6.666666666666667</v>
      </c>
      <c r="K757" s="427" t="s">
        <v>36</v>
      </c>
      <c r="L757" s="391">
        <v>800</v>
      </c>
      <c r="M757" s="209">
        <f t="shared" si="310"/>
        <v>5333.3333333333339</v>
      </c>
    </row>
    <row r="758" spans="1:13">
      <c r="A758" s="205"/>
      <c r="B758" s="201" t="s">
        <v>594</v>
      </c>
      <c r="C758" s="219" t="e">
        <f>+C753</f>
        <v>#REF!</v>
      </c>
      <c r="D758" s="427" t="s">
        <v>13</v>
      </c>
      <c r="E758" s="208" t="e">
        <f>#REF!</f>
        <v>#REF!</v>
      </c>
      <c r="F758" s="209" t="e">
        <f t="shared" si="309"/>
        <v>#REF!</v>
      </c>
      <c r="H758" s="205"/>
      <c r="I758" s="201" t="s">
        <v>594</v>
      </c>
      <c r="J758" s="219" t="e">
        <f>+J753</f>
        <v>#REF!</v>
      </c>
      <c r="K758" s="427" t="s">
        <v>13</v>
      </c>
      <c r="L758" s="208" t="e">
        <f>#REF!</f>
        <v>#REF!</v>
      </c>
      <c r="M758" s="209" t="e">
        <f t="shared" si="310"/>
        <v>#REF!</v>
      </c>
    </row>
    <row r="759" spans="1:13">
      <c r="A759" s="205"/>
      <c r="B759" s="201" t="s">
        <v>28</v>
      </c>
      <c r="C759" s="219" t="e">
        <f>+C758</f>
        <v>#REF!</v>
      </c>
      <c r="D759" s="427" t="s">
        <v>13</v>
      </c>
      <c r="E759" s="208" t="e">
        <f>#REF!</f>
        <v>#REF!</v>
      </c>
      <c r="F759" s="209" t="e">
        <f t="shared" si="309"/>
        <v>#REF!</v>
      </c>
      <c r="H759" s="205"/>
      <c r="I759" s="201" t="s">
        <v>28</v>
      </c>
      <c r="J759" s="219" t="e">
        <f>+J758</f>
        <v>#REF!</v>
      </c>
      <c r="K759" s="427" t="s">
        <v>13</v>
      </c>
      <c r="L759" s="208">
        <v>10</v>
      </c>
      <c r="M759" s="209" t="e">
        <f t="shared" si="310"/>
        <v>#REF!</v>
      </c>
    </row>
    <row r="760" spans="1:13">
      <c r="A760" s="205"/>
      <c r="B760" s="210"/>
      <c r="C760" s="207"/>
      <c r="D760" s="428"/>
      <c r="E760" s="208"/>
      <c r="F760" s="209"/>
      <c r="H760" s="205"/>
      <c r="I760" s="210"/>
      <c r="J760" s="207"/>
      <c r="K760" s="428"/>
      <c r="L760" s="208"/>
      <c r="M760" s="209"/>
    </row>
    <row r="761" spans="1:13">
      <c r="A761" s="198"/>
      <c r="B761" s="198" t="s">
        <v>603</v>
      </c>
      <c r="C761" s="199"/>
      <c r="D761" s="426"/>
      <c r="E761" s="199"/>
      <c r="F761" s="197" t="e">
        <f>SUM(F752:F760)/C753</f>
        <v>#REF!</v>
      </c>
      <c r="H761" s="198"/>
      <c r="I761" s="198" t="s">
        <v>603</v>
      </c>
      <c r="J761" s="199"/>
      <c r="K761" s="426"/>
      <c r="L761" s="199"/>
      <c r="M761" s="197" t="e">
        <f>SUM(M752:M760)/J753</f>
        <v>#REF!</v>
      </c>
    </row>
    <row r="764" spans="1:13">
      <c r="A764" s="199"/>
      <c r="B764" s="364" t="s">
        <v>866</v>
      </c>
      <c r="C764" s="199"/>
      <c r="D764" s="426"/>
      <c r="E764" s="199"/>
      <c r="F764" s="199"/>
      <c r="H764" s="199"/>
      <c r="I764" s="364" t="s">
        <v>859</v>
      </c>
      <c r="J764" s="199"/>
      <c r="K764" s="426"/>
      <c r="L764" s="199"/>
      <c r="M764" s="199"/>
    </row>
    <row r="765" spans="1:13">
      <c r="A765" s="213"/>
      <c r="B765" s="214"/>
      <c r="C765" s="214"/>
      <c r="D765" s="429"/>
      <c r="E765" s="214"/>
      <c r="F765" s="215"/>
      <c r="H765" s="213"/>
      <c r="I765" s="214"/>
      <c r="J765" s="214"/>
      <c r="K765" s="429"/>
      <c r="L765" s="214"/>
      <c r="M765" s="215"/>
    </row>
    <row r="766" spans="1:13">
      <c r="A766" s="205"/>
      <c r="B766" s="219" t="s">
        <v>593</v>
      </c>
      <c r="C766" s="219">
        <f>0.12*1.4*1.05</f>
        <v>0.1764</v>
      </c>
      <c r="D766" s="427" t="s">
        <v>25</v>
      </c>
      <c r="E766" s="208" t="e">
        <f>E752</f>
        <v>#REF!</v>
      </c>
      <c r="F766" s="209" t="e">
        <f t="shared" ref="F766:F773" si="312">+C766*E766</f>
        <v>#REF!</v>
      </c>
      <c r="H766" s="205"/>
      <c r="I766" s="219" t="s">
        <v>593</v>
      </c>
      <c r="J766" s="219">
        <f>0.12*1.4*1.05</f>
        <v>0.1764</v>
      </c>
      <c r="K766" s="427" t="s">
        <v>25</v>
      </c>
      <c r="L766" s="208" t="e">
        <f>L752</f>
        <v>#REF!</v>
      </c>
      <c r="M766" s="209" t="e">
        <f t="shared" ref="M766:M773" si="313">+J766*L766</f>
        <v>#REF!</v>
      </c>
    </row>
    <row r="767" spans="1:13">
      <c r="A767" s="205"/>
      <c r="B767" s="219" t="s">
        <v>43</v>
      </c>
      <c r="C767" s="365" t="e">
        <f>#REF!</f>
        <v>#REF!</v>
      </c>
      <c r="D767" s="427" t="s">
        <v>13</v>
      </c>
      <c r="E767" s="208" t="e">
        <f t="shared" ref="E767:E770" si="314">E753</f>
        <v>#REF!</v>
      </c>
      <c r="F767" s="209" t="e">
        <f t="shared" si="312"/>
        <v>#REF!</v>
      </c>
      <c r="H767" s="205"/>
      <c r="I767" s="219" t="s">
        <v>43</v>
      </c>
      <c r="J767" s="365" t="e">
        <f>#REF!</f>
        <v>#REF!</v>
      </c>
      <c r="K767" s="427" t="s">
        <v>13</v>
      </c>
      <c r="L767" s="208" t="e">
        <f t="shared" ref="L767:L770" si="315">L753</f>
        <v>#REF!</v>
      </c>
      <c r="M767" s="209" t="e">
        <f t="shared" si="313"/>
        <v>#REF!</v>
      </c>
    </row>
    <row r="768" spans="1:13">
      <c r="A768" s="205"/>
      <c r="B768" s="201" t="s">
        <v>14</v>
      </c>
      <c r="C768" s="219" t="e">
        <f>SUM(C767)*2</f>
        <v>#REF!</v>
      </c>
      <c r="D768" s="427" t="s">
        <v>15</v>
      </c>
      <c r="E768" s="208" t="e">
        <f t="shared" si="314"/>
        <v>#REF!</v>
      </c>
      <c r="F768" s="209" t="e">
        <f t="shared" si="312"/>
        <v>#REF!</v>
      </c>
      <c r="H768" s="205"/>
      <c r="I768" s="201" t="s">
        <v>14</v>
      </c>
      <c r="J768" s="219" t="e">
        <f>SUM(J767)*2</f>
        <v>#REF!</v>
      </c>
      <c r="K768" s="427" t="s">
        <v>15</v>
      </c>
      <c r="L768" s="208" t="e">
        <f t="shared" si="315"/>
        <v>#REF!</v>
      </c>
      <c r="M768" s="209" t="e">
        <f t="shared" si="313"/>
        <v>#REF!</v>
      </c>
    </row>
    <row r="769" spans="1:13">
      <c r="A769" s="205"/>
      <c r="B769" s="201" t="s">
        <v>599</v>
      </c>
      <c r="C769" s="219">
        <f>+C771*0.5</f>
        <v>3.3333333333333335</v>
      </c>
      <c r="D769" s="427" t="s">
        <v>15</v>
      </c>
      <c r="E769" s="208" t="e">
        <f t="shared" si="314"/>
        <v>#REF!</v>
      </c>
      <c r="F769" s="209" t="e">
        <f t="shared" si="312"/>
        <v>#REF!</v>
      </c>
      <c r="H769" s="205"/>
      <c r="I769" s="201" t="s">
        <v>599</v>
      </c>
      <c r="J769" s="219">
        <f>+J771*0.5</f>
        <v>3.3333333333333335</v>
      </c>
      <c r="K769" s="427" t="s">
        <v>15</v>
      </c>
      <c r="L769" s="208" t="e">
        <f t="shared" si="315"/>
        <v>#REF!</v>
      </c>
      <c r="M769" s="209" t="e">
        <f t="shared" si="313"/>
        <v>#REF!</v>
      </c>
    </row>
    <row r="770" spans="1:13">
      <c r="A770" s="205"/>
      <c r="B770" s="201" t="s">
        <v>600</v>
      </c>
      <c r="C770" s="219">
        <f>+C769/2</f>
        <v>1.6666666666666667</v>
      </c>
      <c r="D770" s="427" t="s">
        <v>15</v>
      </c>
      <c r="E770" s="208" t="e">
        <f t="shared" si="314"/>
        <v>#REF!</v>
      </c>
      <c r="F770" s="209" t="e">
        <f t="shared" si="312"/>
        <v>#REF!</v>
      </c>
      <c r="H770" s="205"/>
      <c r="I770" s="201" t="s">
        <v>600</v>
      </c>
      <c r="J770" s="219">
        <f>+J769/2</f>
        <v>1.6666666666666667</v>
      </c>
      <c r="K770" s="427" t="s">
        <v>15</v>
      </c>
      <c r="L770" s="208" t="e">
        <f t="shared" si="315"/>
        <v>#REF!</v>
      </c>
      <c r="M770" s="209" t="e">
        <f t="shared" si="313"/>
        <v>#REF!</v>
      </c>
    </row>
    <row r="771" spans="1:13">
      <c r="A771" s="205"/>
      <c r="B771" s="201" t="s">
        <v>601</v>
      </c>
      <c r="C771" s="365">
        <f>1/0.15</f>
        <v>6.666666666666667</v>
      </c>
      <c r="D771" s="427" t="s">
        <v>36</v>
      </c>
      <c r="E771" s="391">
        <v>800</v>
      </c>
      <c r="F771" s="209">
        <f t="shared" si="312"/>
        <v>5333.3333333333339</v>
      </c>
      <c r="H771" s="205"/>
      <c r="I771" s="201" t="s">
        <v>601</v>
      </c>
      <c r="J771" s="365">
        <f>1/0.15</f>
        <v>6.666666666666667</v>
      </c>
      <c r="K771" s="427" t="s">
        <v>36</v>
      </c>
      <c r="L771" s="391">
        <v>800</v>
      </c>
      <c r="M771" s="209">
        <f t="shared" si="313"/>
        <v>5333.3333333333339</v>
      </c>
    </row>
    <row r="772" spans="1:13">
      <c r="A772" s="205"/>
      <c r="B772" s="201" t="s">
        <v>594</v>
      </c>
      <c r="C772" s="219" t="e">
        <f>+C767</f>
        <v>#REF!</v>
      </c>
      <c r="D772" s="427" t="s">
        <v>13</v>
      </c>
      <c r="E772" s="208" t="e">
        <f>#REF!</f>
        <v>#REF!</v>
      </c>
      <c r="F772" s="209" t="e">
        <f t="shared" si="312"/>
        <v>#REF!</v>
      </c>
      <c r="H772" s="205"/>
      <c r="I772" s="201" t="s">
        <v>594</v>
      </c>
      <c r="J772" s="219" t="e">
        <f>+J767</f>
        <v>#REF!</v>
      </c>
      <c r="K772" s="427" t="s">
        <v>13</v>
      </c>
      <c r="L772" s="208" t="e">
        <f>#REF!</f>
        <v>#REF!</v>
      </c>
      <c r="M772" s="209" t="e">
        <f t="shared" si="313"/>
        <v>#REF!</v>
      </c>
    </row>
    <row r="773" spans="1:13">
      <c r="A773" s="205"/>
      <c r="B773" s="201" t="s">
        <v>28</v>
      </c>
      <c r="C773" s="219" t="e">
        <f>+C772</f>
        <v>#REF!</v>
      </c>
      <c r="D773" s="427" t="s">
        <v>13</v>
      </c>
      <c r="E773" s="208">
        <v>10</v>
      </c>
      <c r="F773" s="209" t="e">
        <f t="shared" si="312"/>
        <v>#REF!</v>
      </c>
      <c r="H773" s="205"/>
      <c r="I773" s="201" t="s">
        <v>28</v>
      </c>
      <c r="J773" s="219" t="e">
        <f>+J772</f>
        <v>#REF!</v>
      </c>
      <c r="K773" s="427" t="s">
        <v>13</v>
      </c>
      <c r="L773" s="208">
        <v>10</v>
      </c>
      <c r="M773" s="209" t="e">
        <f t="shared" si="313"/>
        <v>#REF!</v>
      </c>
    </row>
    <row r="774" spans="1:13">
      <c r="A774" s="205"/>
      <c r="B774" s="210"/>
      <c r="C774" s="207"/>
      <c r="D774" s="428"/>
      <c r="E774" s="208"/>
      <c r="F774" s="209"/>
      <c r="H774" s="205"/>
      <c r="I774" s="210"/>
      <c r="J774" s="207"/>
      <c r="K774" s="428"/>
      <c r="L774" s="208"/>
      <c r="M774" s="209"/>
    </row>
    <row r="775" spans="1:13">
      <c r="A775" s="198"/>
      <c r="B775" s="198" t="s">
        <v>603</v>
      </c>
      <c r="C775" s="199"/>
      <c r="D775" s="426"/>
      <c r="E775" s="199"/>
      <c r="F775" s="197" t="e">
        <f>SUM(F766:F774)/C771</f>
        <v>#REF!</v>
      </c>
      <c r="H775" s="198"/>
      <c r="I775" s="198" t="s">
        <v>603</v>
      </c>
      <c r="J775" s="199"/>
      <c r="K775" s="426"/>
      <c r="L775" s="199"/>
      <c r="M775" s="197" t="e">
        <f>SUM(M766:M774)/J771</f>
        <v>#REF!</v>
      </c>
    </row>
    <row r="780" spans="1:13">
      <c r="A780" s="199"/>
      <c r="B780" s="364" t="s">
        <v>867</v>
      </c>
      <c r="C780" s="199"/>
      <c r="D780" s="426"/>
      <c r="E780" s="199"/>
      <c r="F780" s="199"/>
      <c r="H780" s="199"/>
      <c r="I780" s="364" t="s">
        <v>942</v>
      </c>
      <c r="J780" s="199"/>
      <c r="K780" s="426"/>
      <c r="L780" s="199"/>
      <c r="M780" s="199"/>
    </row>
    <row r="781" spans="1:13">
      <c r="A781" s="213"/>
      <c r="B781" s="214"/>
      <c r="C781" s="214"/>
      <c r="D781" s="429"/>
      <c r="E781" s="214"/>
      <c r="F781" s="215"/>
      <c r="H781" s="213"/>
      <c r="I781" s="214"/>
      <c r="J781" s="214"/>
      <c r="K781" s="429"/>
      <c r="L781" s="214"/>
      <c r="M781" s="215"/>
    </row>
    <row r="782" spans="1:13">
      <c r="A782" s="205"/>
      <c r="B782" s="219" t="s">
        <v>593</v>
      </c>
      <c r="C782" s="219">
        <f>0.12*0.9*1.05</f>
        <v>0.1134</v>
      </c>
      <c r="D782" s="427" t="s">
        <v>25</v>
      </c>
      <c r="E782" s="208" t="e">
        <f>E766</f>
        <v>#REF!</v>
      </c>
      <c r="F782" s="209" t="e">
        <f t="shared" ref="F782:F789" si="316">+C782*E782</f>
        <v>#REF!</v>
      </c>
      <c r="H782" s="203"/>
      <c r="I782" s="201" t="s">
        <v>593</v>
      </c>
      <c r="J782" s="219">
        <v>1.05</v>
      </c>
      <c r="K782" s="427" t="s">
        <v>25</v>
      </c>
      <c r="L782" s="208" t="e">
        <f>L800</f>
        <v>#REF!</v>
      </c>
      <c r="M782" s="220" t="e">
        <f t="shared" ref="M782:M785" si="317">+J782*L782</f>
        <v>#REF!</v>
      </c>
    </row>
    <row r="783" spans="1:13">
      <c r="A783" s="205"/>
      <c r="B783" s="219" t="s">
        <v>43</v>
      </c>
      <c r="C783" s="365" t="e">
        <f>#REF!</f>
        <v>#REF!</v>
      </c>
      <c r="D783" s="427" t="s">
        <v>13</v>
      </c>
      <c r="E783" s="208" t="e">
        <f t="shared" ref="E783:E786" si="318">E767</f>
        <v>#REF!</v>
      </c>
      <c r="F783" s="209" t="e">
        <f t="shared" si="316"/>
        <v>#REF!</v>
      </c>
      <c r="H783" s="203"/>
      <c r="I783" s="219" t="s">
        <v>1138</v>
      </c>
      <c r="J783" s="219" t="e">
        <f>#REF!</f>
        <v>#REF!</v>
      </c>
      <c r="K783" s="427" t="s">
        <v>13</v>
      </c>
      <c r="L783" s="221" t="e">
        <f>#REF!</f>
        <v>#REF!</v>
      </c>
      <c r="M783" s="220" t="e">
        <f t="shared" si="317"/>
        <v>#REF!</v>
      </c>
    </row>
    <row r="784" spans="1:13">
      <c r="A784" s="205"/>
      <c r="B784" s="201" t="s">
        <v>14</v>
      </c>
      <c r="C784" s="219" t="e">
        <f>SUM(C783)*2</f>
        <v>#REF!</v>
      </c>
      <c r="D784" s="427" t="s">
        <v>15</v>
      </c>
      <c r="E784" s="208" t="e">
        <f t="shared" si="318"/>
        <v>#REF!</v>
      </c>
      <c r="F784" s="209" t="e">
        <f t="shared" si="316"/>
        <v>#REF!</v>
      </c>
      <c r="H784" s="203"/>
      <c r="I784" s="201" t="s">
        <v>14</v>
      </c>
      <c r="J784" s="219" t="e">
        <f>SUM(J783:J783)*2</f>
        <v>#REF!</v>
      </c>
      <c r="K784" s="427" t="s">
        <v>15</v>
      </c>
      <c r="L784" s="219" t="e">
        <f>#REF!</f>
        <v>#REF!</v>
      </c>
      <c r="M784" s="220" t="e">
        <f t="shared" si="317"/>
        <v>#REF!</v>
      </c>
    </row>
    <row r="785" spans="1:13">
      <c r="A785" s="205"/>
      <c r="B785" s="201" t="s">
        <v>599</v>
      </c>
      <c r="C785" s="219">
        <f>+C787*0.5</f>
        <v>4.166666666666667</v>
      </c>
      <c r="D785" s="427" t="s">
        <v>15</v>
      </c>
      <c r="E785" s="208" t="e">
        <f t="shared" si="318"/>
        <v>#REF!</v>
      </c>
      <c r="F785" s="209" t="e">
        <f t="shared" si="316"/>
        <v>#REF!</v>
      </c>
      <c r="H785" s="203"/>
      <c r="I785" s="201" t="s">
        <v>594</v>
      </c>
      <c r="J785" s="219" t="e">
        <f>SUM(J783:J783)</f>
        <v>#REF!</v>
      </c>
      <c r="K785" s="427" t="s">
        <v>13</v>
      </c>
      <c r="L785" s="222" t="e">
        <f>#REF!</f>
        <v>#REF!</v>
      </c>
      <c r="M785" s="220" t="e">
        <f t="shared" si="317"/>
        <v>#REF!</v>
      </c>
    </row>
    <row r="786" spans="1:13">
      <c r="A786" s="205"/>
      <c r="B786" s="201" t="s">
        <v>600</v>
      </c>
      <c r="C786" s="219">
        <f>+C785/2</f>
        <v>2.0833333333333335</v>
      </c>
      <c r="D786" s="427" t="s">
        <v>15</v>
      </c>
      <c r="E786" s="208" t="e">
        <f t="shared" si="318"/>
        <v>#REF!</v>
      </c>
      <c r="F786" s="209" t="e">
        <f t="shared" si="316"/>
        <v>#REF!</v>
      </c>
      <c r="H786" s="203"/>
      <c r="I786" s="330" t="s">
        <v>948</v>
      </c>
      <c r="J786" s="325">
        <f>1/0.1</f>
        <v>10</v>
      </c>
      <c r="K786" s="326" t="s">
        <v>11</v>
      </c>
      <c r="L786" s="327" t="e">
        <f>#REF!</f>
        <v>#REF!</v>
      </c>
      <c r="M786" s="328" t="e">
        <f t="shared" ref="M786:M788" si="319">J786*L786</f>
        <v>#REF!</v>
      </c>
    </row>
    <row r="787" spans="1:13">
      <c r="A787" s="205"/>
      <c r="B787" s="201" t="s">
        <v>602</v>
      </c>
      <c r="C787" s="365">
        <f>1/0.12</f>
        <v>8.3333333333333339</v>
      </c>
      <c r="D787" s="427" t="s">
        <v>36</v>
      </c>
      <c r="E787" s="391">
        <v>800</v>
      </c>
      <c r="F787" s="209">
        <f t="shared" si="316"/>
        <v>6666.666666666667</v>
      </c>
      <c r="H787" s="203"/>
      <c r="I787" s="330" t="s">
        <v>47</v>
      </c>
      <c r="J787" s="331">
        <v>1</v>
      </c>
      <c r="K787" s="326" t="s">
        <v>25</v>
      </c>
      <c r="L787" s="327" t="e">
        <f>#REF!</f>
        <v>#REF!</v>
      </c>
      <c r="M787" s="328" t="e">
        <f t="shared" si="319"/>
        <v>#REF!</v>
      </c>
    </row>
    <row r="788" spans="1:13">
      <c r="A788" s="205"/>
      <c r="B788" s="201" t="s">
        <v>594</v>
      </c>
      <c r="C788" s="219" t="e">
        <f>+C783</f>
        <v>#REF!</v>
      </c>
      <c r="D788" s="427" t="s">
        <v>13</v>
      </c>
      <c r="E788" s="208" t="e">
        <f>E758</f>
        <v>#REF!</v>
      </c>
      <c r="F788" s="209" t="e">
        <f t="shared" si="316"/>
        <v>#REF!</v>
      </c>
      <c r="H788" s="203"/>
      <c r="I788" s="330" t="s">
        <v>7</v>
      </c>
      <c r="J788" s="325" t="e">
        <f>SUM(M782:M784)</f>
        <v>#REF!</v>
      </c>
      <c r="K788" s="326" t="s">
        <v>8</v>
      </c>
      <c r="L788" s="327" t="e">
        <f>#REF!</f>
        <v>#REF!</v>
      </c>
      <c r="M788" s="328" t="e">
        <f t="shared" si="319"/>
        <v>#REF!</v>
      </c>
    </row>
    <row r="789" spans="1:13">
      <c r="A789" s="205"/>
      <c r="B789" s="201" t="s">
        <v>28</v>
      </c>
      <c r="C789" s="219" t="e">
        <f>+C788</f>
        <v>#REF!</v>
      </c>
      <c r="D789" s="427" t="s">
        <v>13</v>
      </c>
      <c r="E789" s="208">
        <v>10</v>
      </c>
      <c r="F789" s="209" t="e">
        <f t="shared" si="316"/>
        <v>#REF!</v>
      </c>
      <c r="H789" s="203"/>
      <c r="I789" s="201"/>
      <c r="J789" s="201"/>
      <c r="K789" s="427"/>
      <c r="L789" s="201"/>
      <c r="M789" s="204"/>
    </row>
    <row r="790" spans="1:13">
      <c r="A790" s="205"/>
      <c r="B790" s="210"/>
      <c r="C790" s="207"/>
      <c r="D790" s="428"/>
      <c r="E790" s="208"/>
      <c r="F790" s="209"/>
      <c r="H790" s="223"/>
      <c r="I790" s="224"/>
      <c r="J790" s="224"/>
      <c r="K790" s="435"/>
      <c r="L790" s="224"/>
      <c r="M790" s="225"/>
    </row>
    <row r="791" spans="1:13">
      <c r="A791" s="198"/>
      <c r="B791" s="198" t="s">
        <v>603</v>
      </c>
      <c r="C791" s="199"/>
      <c r="D791" s="426"/>
      <c r="E791" s="199"/>
      <c r="F791" s="197" t="e">
        <f>SUM(F782:F790)/C787</f>
        <v>#REF!</v>
      </c>
      <c r="H791" s="198"/>
      <c r="I791" s="198" t="s">
        <v>548</v>
      </c>
      <c r="J791" s="199"/>
      <c r="K791" s="426"/>
      <c r="L791" s="199"/>
      <c r="M791" s="197" t="e">
        <f>SUM(M782:M790)</f>
        <v>#REF!</v>
      </c>
    </row>
    <row r="798" spans="1:13">
      <c r="A798" s="199"/>
      <c r="B798" s="364" t="s">
        <v>766</v>
      </c>
      <c r="C798" s="199"/>
      <c r="D798" s="426"/>
      <c r="E798" s="199"/>
      <c r="F798" s="199"/>
      <c r="H798" s="199"/>
      <c r="I798" s="364" t="s">
        <v>765</v>
      </c>
      <c r="J798" s="199"/>
      <c r="K798" s="426"/>
      <c r="L798" s="199"/>
      <c r="M798" s="199"/>
    </row>
    <row r="799" spans="1:13">
      <c r="A799" s="213"/>
      <c r="B799" s="214"/>
      <c r="C799" s="214">
        <f>29.27</f>
        <v>29.27</v>
      </c>
      <c r="D799" s="429" t="s">
        <v>11</v>
      </c>
      <c r="E799" s="214"/>
      <c r="F799" s="215"/>
      <c r="H799" s="213"/>
      <c r="I799" s="214"/>
      <c r="J799" s="214"/>
      <c r="K799" s="429"/>
      <c r="L799" s="214"/>
      <c r="M799" s="215"/>
    </row>
    <row r="800" spans="1:13">
      <c r="A800" s="205"/>
      <c r="B800" s="374" t="s">
        <v>777</v>
      </c>
      <c r="C800" s="375"/>
      <c r="D800" s="376"/>
      <c r="E800" s="377"/>
      <c r="F800" s="375"/>
      <c r="G800" s="378"/>
      <c r="H800" s="203"/>
      <c r="I800" s="201" t="s">
        <v>593</v>
      </c>
      <c r="J800" s="219">
        <v>1.05</v>
      </c>
      <c r="K800" s="427" t="s">
        <v>25</v>
      </c>
      <c r="L800" s="208" t="e">
        <f>L363</f>
        <v>#REF!</v>
      </c>
      <c r="M800" s="220" t="e">
        <f t="shared" ref="M800:M803" si="320">+J800*L800</f>
        <v>#REF!</v>
      </c>
    </row>
    <row r="801" spans="1:13">
      <c r="A801" s="205"/>
      <c r="B801" s="379" t="s">
        <v>793</v>
      </c>
      <c r="C801" s="375">
        <f>29.27*0.05*1.05</f>
        <v>1.536675</v>
      </c>
      <c r="D801" s="376" t="s">
        <v>25</v>
      </c>
      <c r="E801" s="380" t="e">
        <f>L800</f>
        <v>#REF!</v>
      </c>
      <c r="F801" s="375" t="e">
        <f>C801*E801</f>
        <v>#REF!</v>
      </c>
      <c r="G801" s="378"/>
      <c r="H801" s="203"/>
      <c r="I801" s="219" t="s">
        <v>1138</v>
      </c>
      <c r="J801" s="219" t="e">
        <f>#REF!</f>
        <v>#REF!</v>
      </c>
      <c r="K801" s="427" t="s">
        <v>13</v>
      </c>
      <c r="L801" s="221" t="e">
        <f>#REF!</f>
        <v>#REF!</v>
      </c>
      <c r="M801" s="220" t="e">
        <f t="shared" si="320"/>
        <v>#REF!</v>
      </c>
    </row>
    <row r="802" spans="1:13">
      <c r="A802" s="205"/>
      <c r="B802" s="381" t="s">
        <v>778</v>
      </c>
      <c r="C802" s="382">
        <v>1</v>
      </c>
      <c r="D802" s="376" t="s">
        <v>34</v>
      </c>
      <c r="E802" s="383">
        <v>14000</v>
      </c>
      <c r="F802" s="375">
        <f t="shared" ref="F802:F805" si="321">C802*E802</f>
        <v>14000</v>
      </c>
      <c r="G802" s="378"/>
      <c r="H802" s="203"/>
      <c r="I802" s="201" t="s">
        <v>14</v>
      </c>
      <c r="J802" s="219" t="e">
        <f>SUM(J801:J801)*2</f>
        <v>#REF!</v>
      </c>
      <c r="K802" s="427" t="s">
        <v>15</v>
      </c>
      <c r="L802" s="219" t="e">
        <f>#REF!</f>
        <v>#REF!</v>
      </c>
      <c r="M802" s="220" t="e">
        <f t="shared" si="320"/>
        <v>#REF!</v>
      </c>
    </row>
    <row r="803" spans="1:13">
      <c r="A803" s="205"/>
      <c r="B803" s="384" t="s">
        <v>779</v>
      </c>
      <c r="C803" s="375">
        <f>5.4*C802</f>
        <v>5.4</v>
      </c>
      <c r="D803" s="376" t="s">
        <v>0</v>
      </c>
      <c r="E803" s="383">
        <v>486.5</v>
      </c>
      <c r="F803" s="375">
        <f t="shared" si="321"/>
        <v>2627.1000000000004</v>
      </c>
      <c r="G803" s="378"/>
      <c r="H803" s="203"/>
      <c r="I803" s="201" t="s">
        <v>594</v>
      </c>
      <c r="J803" s="219" t="e">
        <f>SUM(J801:J801)</f>
        <v>#REF!</v>
      </c>
      <c r="K803" s="427" t="s">
        <v>13</v>
      </c>
      <c r="L803" s="222" t="e">
        <f>#REF!</f>
        <v>#REF!</v>
      </c>
      <c r="M803" s="220" t="e">
        <f t="shared" si="320"/>
        <v>#REF!</v>
      </c>
    </row>
    <row r="804" spans="1:13">
      <c r="A804" s="205"/>
      <c r="B804" s="384" t="s">
        <v>729</v>
      </c>
      <c r="C804" s="375" t="e">
        <f>#REF!</f>
        <v>#REF!</v>
      </c>
      <c r="D804" s="376" t="s">
        <v>0</v>
      </c>
      <c r="E804" s="383">
        <v>486.5</v>
      </c>
      <c r="F804" s="375" t="e">
        <f t="shared" si="321"/>
        <v>#REF!</v>
      </c>
      <c r="G804" s="378"/>
      <c r="H804" s="203"/>
      <c r="I804" s="330" t="s">
        <v>671</v>
      </c>
      <c r="J804" s="325">
        <f>1/0.12</f>
        <v>8.3333333333333339</v>
      </c>
      <c r="K804" s="326" t="s">
        <v>11</v>
      </c>
      <c r="L804" s="327" t="e">
        <f>#REF!</f>
        <v>#REF!</v>
      </c>
      <c r="M804" s="328" t="e">
        <f t="shared" ref="M804:M806" si="322">J804*L804</f>
        <v>#REF!</v>
      </c>
    </row>
    <row r="805" spans="1:13">
      <c r="A805" s="205"/>
      <c r="B805" s="384" t="s">
        <v>780</v>
      </c>
      <c r="C805" s="375" t="e">
        <f>C804</f>
        <v>#REF!</v>
      </c>
      <c r="D805" s="376" t="s">
        <v>0</v>
      </c>
      <c r="E805" s="383">
        <v>486.5</v>
      </c>
      <c r="F805" s="375" t="e">
        <f t="shared" si="321"/>
        <v>#REF!</v>
      </c>
      <c r="G805" s="378"/>
      <c r="H805" s="203"/>
      <c r="I805" s="330" t="s">
        <v>47</v>
      </c>
      <c r="J805" s="331">
        <v>1</v>
      </c>
      <c r="K805" s="326" t="s">
        <v>25</v>
      </c>
      <c r="L805" s="327" t="e">
        <f>#REF!</f>
        <v>#REF!</v>
      </c>
      <c r="M805" s="328" t="e">
        <f t="shared" si="322"/>
        <v>#REF!</v>
      </c>
    </row>
    <row r="806" spans="1:13">
      <c r="A806" s="205"/>
      <c r="B806" s="385" t="s">
        <v>781</v>
      </c>
      <c r="C806" s="375"/>
      <c r="D806" s="376"/>
      <c r="E806" s="380"/>
      <c r="F806" s="375"/>
      <c r="G806" s="378"/>
      <c r="H806" s="203"/>
      <c r="I806" s="330" t="s">
        <v>7</v>
      </c>
      <c r="J806" s="325" t="e">
        <f>SUM(M800:M802)</f>
        <v>#REF!</v>
      </c>
      <c r="K806" s="326" t="s">
        <v>8</v>
      </c>
      <c r="L806" s="327" t="e">
        <f>#REF!</f>
        <v>#REF!</v>
      </c>
      <c r="M806" s="328" t="e">
        <f t="shared" si="322"/>
        <v>#REF!</v>
      </c>
    </row>
    <row r="807" spans="1:13">
      <c r="A807" s="205"/>
      <c r="B807" s="379" t="s">
        <v>794</v>
      </c>
      <c r="C807" s="375" t="e">
        <f>#REF!*1.05</f>
        <v>#REF!</v>
      </c>
      <c r="D807" s="376" t="s">
        <v>25</v>
      </c>
      <c r="E807" s="380" t="e">
        <f>E801</f>
        <v>#REF!</v>
      </c>
      <c r="F807" s="375" t="e">
        <f>C807*E807</f>
        <v>#REF!</v>
      </c>
      <c r="G807" s="378"/>
      <c r="H807" s="203"/>
      <c r="I807" s="201"/>
      <c r="J807" s="201"/>
      <c r="K807" s="427"/>
      <c r="L807" s="201"/>
      <c r="M807" s="204"/>
    </row>
    <row r="808" spans="1:13">
      <c r="A808" s="201"/>
      <c r="B808" s="384" t="s">
        <v>782</v>
      </c>
      <c r="C808" s="375" t="e">
        <f>#REF!</f>
        <v>#REF!</v>
      </c>
      <c r="D808" s="376" t="s">
        <v>0</v>
      </c>
      <c r="E808" s="377">
        <v>3200</v>
      </c>
      <c r="F808" s="375" t="e">
        <f t="shared" ref="F808:F810" si="323">C808*E808</f>
        <v>#REF!</v>
      </c>
      <c r="G808" s="378"/>
      <c r="H808" s="223"/>
      <c r="I808" s="224"/>
      <c r="J808" s="224"/>
      <c r="K808" s="435"/>
      <c r="L808" s="224"/>
      <c r="M808" s="225"/>
    </row>
    <row r="809" spans="1:13">
      <c r="A809" s="205"/>
      <c r="B809" s="384" t="s">
        <v>795</v>
      </c>
      <c r="C809" s="375" t="e">
        <f>#REF!</f>
        <v>#REF!</v>
      </c>
      <c r="D809" s="376" t="s">
        <v>0</v>
      </c>
      <c r="E809" s="377">
        <v>3200</v>
      </c>
      <c r="F809" s="375" t="e">
        <f t="shared" si="323"/>
        <v>#REF!</v>
      </c>
      <c r="G809" s="378"/>
      <c r="H809" s="198"/>
      <c r="I809" s="198" t="s">
        <v>548</v>
      </c>
      <c r="J809" s="199"/>
      <c r="K809" s="426"/>
      <c r="L809" s="199"/>
      <c r="M809" s="197" t="e">
        <f>SUM(M800:M808)</f>
        <v>#REF!</v>
      </c>
    </row>
    <row r="810" spans="1:13">
      <c r="A810" s="205"/>
      <c r="B810" s="384" t="s">
        <v>31</v>
      </c>
      <c r="C810" s="375" t="e">
        <f>C808+C809</f>
        <v>#REF!</v>
      </c>
      <c r="D810" s="376" t="s">
        <v>0</v>
      </c>
      <c r="E810" s="377">
        <v>486.5</v>
      </c>
      <c r="F810" s="375" t="e">
        <f t="shared" si="323"/>
        <v>#REF!</v>
      </c>
      <c r="G810" s="378"/>
    </row>
    <row r="811" spans="1:13">
      <c r="A811" s="205"/>
      <c r="B811" s="385" t="s">
        <v>783</v>
      </c>
      <c r="C811" s="375"/>
      <c r="D811" s="376"/>
      <c r="E811" s="377"/>
      <c r="F811" s="375"/>
      <c r="G811" s="378"/>
    </row>
    <row r="812" spans="1:13">
      <c r="A812" s="205"/>
      <c r="B812" s="379" t="s">
        <v>792</v>
      </c>
      <c r="C812" s="375">
        <v>0</v>
      </c>
      <c r="D812" s="376" t="s">
        <v>25</v>
      </c>
      <c r="E812" s="380" t="e">
        <f>E801</f>
        <v>#REF!</v>
      </c>
      <c r="F812" s="375" t="e">
        <f>C812*E812</f>
        <v>#REF!</v>
      </c>
      <c r="G812" s="378"/>
      <c r="H812" s="199"/>
      <c r="I812" s="364" t="s">
        <v>861</v>
      </c>
      <c r="J812" s="199"/>
      <c r="K812" s="426"/>
      <c r="L812" s="199"/>
      <c r="M812" s="199"/>
    </row>
    <row r="813" spans="1:13">
      <c r="A813" s="205"/>
      <c r="B813" s="384" t="s">
        <v>784</v>
      </c>
      <c r="C813" s="375">
        <v>0</v>
      </c>
      <c r="D813" s="376" t="s">
        <v>0</v>
      </c>
      <c r="E813" s="377">
        <v>3200</v>
      </c>
      <c r="F813" s="375">
        <f t="shared" ref="F813:F818" si="324">C813*E813</f>
        <v>0</v>
      </c>
      <c r="G813" s="378"/>
      <c r="H813" s="213"/>
      <c r="I813" s="214"/>
      <c r="J813" s="214"/>
      <c r="K813" s="429"/>
      <c r="L813" s="214"/>
      <c r="M813" s="215"/>
    </row>
    <row r="814" spans="1:13">
      <c r="A814" s="205"/>
      <c r="B814" s="384" t="s">
        <v>785</v>
      </c>
      <c r="C814" s="375">
        <v>0</v>
      </c>
      <c r="D814" s="376" t="s">
        <v>0</v>
      </c>
      <c r="E814" s="377">
        <v>3200</v>
      </c>
      <c r="F814" s="375">
        <f t="shared" si="324"/>
        <v>0</v>
      </c>
      <c r="G814" s="378"/>
      <c r="H814" s="203"/>
      <c r="I814" s="201" t="s">
        <v>593</v>
      </c>
      <c r="J814" s="219">
        <v>1.05</v>
      </c>
      <c r="K814" s="427" t="s">
        <v>25</v>
      </c>
      <c r="L814" s="208" t="e">
        <f>L800</f>
        <v>#REF!</v>
      </c>
      <c r="M814" s="220" t="e">
        <f t="shared" ref="M814:M817" si="325">+J814*L814</f>
        <v>#REF!</v>
      </c>
    </row>
    <row r="815" spans="1:13">
      <c r="A815" s="205"/>
      <c r="B815" s="384" t="s">
        <v>786</v>
      </c>
      <c r="C815" s="375">
        <f>1.25*35.8</f>
        <v>44.75</v>
      </c>
      <c r="D815" s="376" t="s">
        <v>36</v>
      </c>
      <c r="E815" s="377">
        <v>199.5</v>
      </c>
      <c r="F815" s="375">
        <f t="shared" si="324"/>
        <v>8927.625</v>
      </c>
      <c r="G815" s="378"/>
      <c r="H815" s="203"/>
      <c r="I815" s="219" t="s">
        <v>1138</v>
      </c>
      <c r="J815" s="219" t="e">
        <f>#REF!</f>
        <v>#REF!</v>
      </c>
      <c r="K815" s="427" t="s">
        <v>13</v>
      </c>
      <c r="L815" s="208" t="e">
        <f t="shared" ref="L815:L816" si="326">L801</f>
        <v>#REF!</v>
      </c>
      <c r="M815" s="220" t="e">
        <f t="shared" si="325"/>
        <v>#REF!</v>
      </c>
    </row>
    <row r="816" spans="1:13">
      <c r="A816" s="205"/>
      <c r="B816" s="384" t="s">
        <v>38</v>
      </c>
      <c r="C816" s="375">
        <f>C817*2</f>
        <v>0</v>
      </c>
      <c r="D816" s="376" t="s">
        <v>15</v>
      </c>
      <c r="E816" s="377">
        <v>60</v>
      </c>
      <c r="F816" s="375">
        <f t="shared" si="324"/>
        <v>0</v>
      </c>
      <c r="G816" s="378"/>
      <c r="H816" s="203"/>
      <c r="I816" s="201" t="s">
        <v>14</v>
      </c>
      <c r="J816" s="219" t="e">
        <f>SUM(J815:J815)*2</f>
        <v>#REF!</v>
      </c>
      <c r="K816" s="427" t="s">
        <v>15</v>
      </c>
      <c r="L816" s="208" t="e">
        <f t="shared" si="326"/>
        <v>#REF!</v>
      </c>
      <c r="M816" s="220" t="e">
        <f t="shared" si="325"/>
        <v>#REF!</v>
      </c>
    </row>
    <row r="817" spans="1:13">
      <c r="A817" s="205"/>
      <c r="B817" s="384" t="s">
        <v>31</v>
      </c>
      <c r="C817" s="375">
        <f>SUM(C813:C814)</f>
        <v>0</v>
      </c>
      <c r="D817" s="376" t="s">
        <v>0</v>
      </c>
      <c r="E817" s="377">
        <v>486.5</v>
      </c>
      <c r="F817" s="375">
        <f t="shared" si="324"/>
        <v>0</v>
      </c>
      <c r="G817" s="378"/>
      <c r="H817" s="203"/>
      <c r="I817" s="201" t="s">
        <v>594</v>
      </c>
      <c r="J817" s="219" t="e">
        <f>SUM(J815:J815)</f>
        <v>#REF!</v>
      </c>
      <c r="K817" s="427" t="s">
        <v>13</v>
      </c>
      <c r="L817" s="208" t="e">
        <f>#REF!</f>
        <v>#REF!</v>
      </c>
      <c r="M817" s="220" t="e">
        <f t="shared" si="325"/>
        <v>#REF!</v>
      </c>
    </row>
    <row r="818" spans="1:13">
      <c r="A818" s="205"/>
      <c r="B818" s="384" t="s">
        <v>112</v>
      </c>
      <c r="C818" s="375">
        <f>E822</f>
        <v>29.27</v>
      </c>
      <c r="D818" s="376" t="s">
        <v>11</v>
      </c>
      <c r="E818" s="377">
        <v>254</v>
      </c>
      <c r="F818" s="375">
        <f t="shared" si="324"/>
        <v>7434.58</v>
      </c>
      <c r="G818" s="378"/>
      <c r="H818" s="203"/>
      <c r="I818" s="330" t="s">
        <v>671</v>
      </c>
      <c r="J818" s="325">
        <f>1/0.12</f>
        <v>8.3333333333333339</v>
      </c>
      <c r="K818" s="326" t="s">
        <v>11</v>
      </c>
      <c r="L818" s="327" t="e">
        <f>L804</f>
        <v>#REF!</v>
      </c>
      <c r="M818" s="328" t="e">
        <f t="shared" ref="M818:M820" si="327">J818*L818</f>
        <v>#REF!</v>
      </c>
    </row>
    <row r="819" spans="1:13">
      <c r="A819" s="205"/>
      <c r="B819" s="384" t="s">
        <v>787</v>
      </c>
      <c r="C819" s="375">
        <v>31.52</v>
      </c>
      <c r="D819" s="376" t="s">
        <v>25</v>
      </c>
      <c r="E819" s="377"/>
      <c r="F819" s="375">
        <f t="shared" ref="F819" si="328">C819*E819</f>
        <v>0</v>
      </c>
      <c r="G819" s="378" t="e">
        <f>SUM(F801:F819)</f>
        <v>#REF!</v>
      </c>
      <c r="H819" s="203"/>
      <c r="I819" s="330" t="s">
        <v>47</v>
      </c>
      <c r="J819" s="331">
        <v>1</v>
      </c>
      <c r="K819" s="326" t="s">
        <v>25</v>
      </c>
      <c r="L819" s="327" t="e">
        <f>L805</f>
        <v>#REF!</v>
      </c>
      <c r="M819" s="328" t="e">
        <f t="shared" si="327"/>
        <v>#REF!</v>
      </c>
    </row>
    <row r="820" spans="1:13">
      <c r="A820" s="205"/>
      <c r="B820" s="330"/>
      <c r="C820" s="352"/>
      <c r="D820" s="326"/>
      <c r="E820" s="330"/>
      <c r="F820" s="330" t="s">
        <v>788</v>
      </c>
      <c r="G820" s="378" t="e">
        <f>G819/E823</f>
        <v>#REF!</v>
      </c>
      <c r="H820" s="203"/>
      <c r="I820" s="330" t="s">
        <v>7</v>
      </c>
      <c r="J820" s="325" t="e">
        <f>SUM(M814:M816)</f>
        <v>#REF!</v>
      </c>
      <c r="K820" s="326" t="s">
        <v>8</v>
      </c>
      <c r="L820" s="327" t="e">
        <f>L806</f>
        <v>#REF!</v>
      </c>
      <c r="M820" s="328" t="e">
        <f t="shared" si="327"/>
        <v>#REF!</v>
      </c>
    </row>
    <row r="821" spans="1:13" ht="15">
      <c r="A821" s="205"/>
      <c r="B821" s="330"/>
      <c r="C821" s="352"/>
      <c r="D821" s="326"/>
      <c r="E821" s="330"/>
      <c r="F821" s="330" t="s">
        <v>789</v>
      </c>
      <c r="G821" s="386" t="e">
        <f>G819/E822</f>
        <v>#REF!</v>
      </c>
      <c r="H821" s="203"/>
      <c r="I821" s="201"/>
      <c r="J821" s="201"/>
      <c r="K821" s="427"/>
      <c r="L821" s="201"/>
      <c r="M821" s="204"/>
    </row>
    <row r="822" spans="1:13" ht="15">
      <c r="A822" s="205"/>
      <c r="B822" s="387"/>
      <c r="C822" s="352"/>
      <c r="D822" s="434" t="s">
        <v>790</v>
      </c>
      <c r="E822" s="341">
        <v>29.27</v>
      </c>
      <c r="F822" s="388" t="s">
        <v>39</v>
      </c>
      <c r="G822" s="389"/>
      <c r="H822" s="223"/>
      <c r="I822" s="224"/>
      <c r="J822" s="224"/>
      <c r="K822" s="435"/>
      <c r="L822" s="224"/>
      <c r="M822" s="225"/>
    </row>
    <row r="823" spans="1:13" ht="15">
      <c r="A823" s="205"/>
      <c r="B823" s="387"/>
      <c r="C823" s="390"/>
      <c r="D823" s="434" t="s">
        <v>791</v>
      </c>
      <c r="E823" s="386" t="e">
        <f>C801+C807</f>
        <v>#REF!</v>
      </c>
      <c r="F823" s="388" t="s">
        <v>108</v>
      </c>
      <c r="G823" s="389"/>
      <c r="H823" s="198"/>
      <c r="I823" s="198" t="s">
        <v>548</v>
      </c>
      <c r="J823" s="199"/>
      <c r="K823" s="426"/>
      <c r="L823" s="199"/>
      <c r="M823" s="197" t="e">
        <f>SUM(M814:M822)</f>
        <v>#REF!</v>
      </c>
    </row>
    <row r="824" spans="1:13">
      <c r="A824" s="205"/>
      <c r="B824" s="1"/>
      <c r="C824" s="153"/>
      <c r="D824" s="2"/>
      <c r="E824" s="5"/>
      <c r="F824" s="3"/>
      <c r="G824" s="4"/>
    </row>
    <row r="825" spans="1:13">
      <c r="A825" s="205"/>
      <c r="B825" s="201"/>
      <c r="C825" s="219"/>
      <c r="D825" s="427"/>
      <c r="E825" s="208"/>
      <c r="F825" s="209"/>
      <c r="H825" s="199"/>
      <c r="I825" s="364" t="s">
        <v>860</v>
      </c>
      <c r="J825" s="199"/>
      <c r="K825" s="426"/>
      <c r="L825" s="199"/>
      <c r="M825" s="199"/>
    </row>
    <row r="826" spans="1:13">
      <c r="A826" s="205"/>
      <c r="B826" s="201"/>
      <c r="C826" s="219"/>
      <c r="D826" s="427"/>
      <c r="E826" s="208"/>
      <c r="F826" s="209"/>
      <c r="H826" s="213"/>
      <c r="I826" s="214"/>
      <c r="J826" s="214"/>
      <c r="K826" s="429"/>
      <c r="L826" s="214"/>
      <c r="M826" s="215"/>
    </row>
    <row r="827" spans="1:13">
      <c r="A827" s="205"/>
      <c r="B827" s="201"/>
      <c r="C827" s="219"/>
      <c r="D827" s="427"/>
      <c r="E827" s="208"/>
      <c r="F827" s="209"/>
      <c r="H827" s="203"/>
      <c r="I827" s="201" t="s">
        <v>593</v>
      </c>
      <c r="J827" s="219">
        <v>1.05</v>
      </c>
      <c r="K827" s="427" t="s">
        <v>25</v>
      </c>
      <c r="L827" s="208" t="e">
        <f>L814</f>
        <v>#REF!</v>
      </c>
      <c r="M827" s="220" t="e">
        <f t="shared" ref="M827:M830" si="329">+J827*L827</f>
        <v>#REF!</v>
      </c>
    </row>
    <row r="828" spans="1:13">
      <c r="A828" s="205"/>
      <c r="B828" s="201"/>
      <c r="C828" s="219"/>
      <c r="D828" s="427"/>
      <c r="E828" s="208"/>
      <c r="F828" s="209"/>
      <c r="H828" s="203"/>
      <c r="I828" s="219" t="s">
        <v>1138</v>
      </c>
      <c r="J828" s="219" t="e">
        <f>#REF!</f>
        <v>#REF!</v>
      </c>
      <c r="K828" s="427" t="s">
        <v>13</v>
      </c>
      <c r="L828" s="208" t="e">
        <f t="shared" ref="L828:L829" si="330">L815</f>
        <v>#REF!</v>
      </c>
      <c r="M828" s="220" t="e">
        <f t="shared" si="329"/>
        <v>#REF!</v>
      </c>
    </row>
    <row r="829" spans="1:13">
      <c r="A829" s="205"/>
      <c r="B829" s="201"/>
      <c r="C829" s="219"/>
      <c r="D829" s="427"/>
      <c r="E829" s="208"/>
      <c r="F829" s="209"/>
      <c r="H829" s="203"/>
      <c r="I829" s="201" t="s">
        <v>14</v>
      </c>
      <c r="J829" s="219" t="e">
        <f>SUM(J828:J828)*2</f>
        <v>#REF!</v>
      </c>
      <c r="K829" s="427" t="s">
        <v>15</v>
      </c>
      <c r="L829" s="208" t="e">
        <f t="shared" si="330"/>
        <v>#REF!</v>
      </c>
      <c r="M829" s="220" t="e">
        <f t="shared" si="329"/>
        <v>#REF!</v>
      </c>
    </row>
    <row r="830" spans="1:13">
      <c r="A830" s="205"/>
      <c r="B830" s="201"/>
      <c r="C830" s="219"/>
      <c r="D830" s="427"/>
      <c r="E830" s="208"/>
      <c r="F830" s="209"/>
      <c r="H830" s="203"/>
      <c r="I830" s="201" t="s">
        <v>594</v>
      </c>
      <c r="J830" s="219" t="e">
        <f>SUM(J828:J828)</f>
        <v>#REF!</v>
      </c>
      <c r="K830" s="427" t="s">
        <v>13</v>
      </c>
      <c r="L830" s="208" t="e">
        <f>#REF!</f>
        <v>#REF!</v>
      </c>
      <c r="M830" s="220" t="e">
        <f t="shared" si="329"/>
        <v>#REF!</v>
      </c>
    </row>
    <row r="831" spans="1:13">
      <c r="A831" s="205"/>
      <c r="B831" s="210"/>
      <c r="C831" s="207"/>
      <c r="D831" s="428"/>
      <c r="E831" s="208"/>
      <c r="F831" s="209"/>
      <c r="H831" s="203"/>
      <c r="I831" s="330" t="s">
        <v>671</v>
      </c>
      <c r="J831" s="325">
        <f>1/0.12</f>
        <v>8.3333333333333339</v>
      </c>
      <c r="K831" s="326" t="s">
        <v>11</v>
      </c>
      <c r="L831" s="327" t="e">
        <f>L818</f>
        <v>#REF!</v>
      </c>
      <c r="M831" s="328" t="e">
        <f t="shared" ref="M831:M833" si="331">J831*L831</f>
        <v>#REF!</v>
      </c>
    </row>
    <row r="832" spans="1:13">
      <c r="A832" s="198"/>
      <c r="B832" s="198" t="s">
        <v>4</v>
      </c>
      <c r="C832" s="199"/>
      <c r="D832" s="426"/>
      <c r="E832" s="199"/>
      <c r="F832" s="197" t="e">
        <f>SUM(F800:F831)/C799</f>
        <v>#REF!</v>
      </c>
      <c r="H832" s="203"/>
      <c r="I832" s="330" t="s">
        <v>47</v>
      </c>
      <c r="J832" s="331">
        <v>1</v>
      </c>
      <c r="K832" s="326" t="s">
        <v>25</v>
      </c>
      <c r="L832" s="327" t="e">
        <f t="shared" ref="L832:L833" si="332">L819</f>
        <v>#REF!</v>
      </c>
      <c r="M832" s="328" t="e">
        <f t="shared" si="331"/>
        <v>#REF!</v>
      </c>
    </row>
    <row r="833" spans="1:13">
      <c r="A833" s="367"/>
      <c r="B833" s="367"/>
      <c r="C833" s="368"/>
      <c r="D833" s="431"/>
      <c r="E833" s="368"/>
      <c r="F833" s="369"/>
      <c r="H833" s="203"/>
      <c r="I833" s="330" t="s">
        <v>7</v>
      </c>
      <c r="J833" s="325" t="e">
        <f>SUM(M827:M829)</f>
        <v>#REF!</v>
      </c>
      <c r="K833" s="326" t="s">
        <v>8</v>
      </c>
      <c r="L833" s="327" t="e">
        <f t="shared" si="332"/>
        <v>#REF!</v>
      </c>
      <c r="M833" s="328" t="e">
        <f t="shared" si="331"/>
        <v>#REF!</v>
      </c>
    </row>
    <row r="834" spans="1:13">
      <c r="A834" s="367"/>
      <c r="B834" s="367"/>
      <c r="C834" s="368"/>
      <c r="D834" s="431"/>
      <c r="E834" s="368"/>
      <c r="F834" s="369"/>
      <c r="H834" s="203"/>
      <c r="I834" s="201"/>
      <c r="J834" s="201"/>
      <c r="K834" s="427"/>
      <c r="L834" s="201"/>
      <c r="M834" s="204"/>
    </row>
    <row r="835" spans="1:13">
      <c r="A835" s="367"/>
      <c r="B835" s="367"/>
      <c r="C835" s="368"/>
      <c r="D835" s="431"/>
      <c r="E835" s="368"/>
      <c r="F835" s="369"/>
      <c r="H835" s="223"/>
      <c r="I835" s="224"/>
      <c r="J835" s="224"/>
      <c r="K835" s="435"/>
      <c r="L835" s="224"/>
      <c r="M835" s="225"/>
    </row>
    <row r="836" spans="1:13">
      <c r="A836" s="367"/>
      <c r="B836" s="367"/>
      <c r="C836" s="368"/>
      <c r="D836" s="431"/>
      <c r="E836" s="368"/>
      <c r="F836" s="369"/>
      <c r="H836" s="198"/>
      <c r="I836" s="198" t="s">
        <v>548</v>
      </c>
      <c r="J836" s="199"/>
      <c r="K836" s="426"/>
      <c r="L836" s="199"/>
      <c r="M836" s="197" t="e">
        <f>SUM(M827:M835)</f>
        <v>#REF!</v>
      </c>
    </row>
    <row r="837" spans="1:13">
      <c r="A837" s="199"/>
      <c r="B837" s="364" t="s">
        <v>943</v>
      </c>
      <c r="C837" s="199"/>
      <c r="D837" s="426"/>
      <c r="E837" s="199"/>
      <c r="F837" s="199"/>
    </row>
    <row r="838" spans="1:13">
      <c r="A838" s="213"/>
      <c r="B838" s="214"/>
      <c r="C838" s="214"/>
      <c r="D838" s="429"/>
      <c r="E838" s="214"/>
      <c r="F838" s="215"/>
      <c r="H838" s="199"/>
      <c r="I838" s="364" t="s">
        <v>946</v>
      </c>
      <c r="J838" s="199"/>
      <c r="K838" s="426"/>
      <c r="L838" s="199"/>
      <c r="M838" s="199"/>
    </row>
    <row r="839" spans="1:13">
      <c r="A839" s="205"/>
      <c r="B839" s="219" t="s">
        <v>593</v>
      </c>
      <c r="C839" s="219">
        <f>0.15*0.3*1.05</f>
        <v>4.725E-2</v>
      </c>
      <c r="D839" s="427" t="s">
        <v>25</v>
      </c>
      <c r="E839" s="208" t="e">
        <f>E782</f>
        <v>#REF!</v>
      </c>
      <c r="F839" s="209" t="e">
        <f t="shared" ref="F839:F846" si="333">+C839*E839</f>
        <v>#REF!</v>
      </c>
      <c r="H839" s="213"/>
      <c r="I839" s="214"/>
      <c r="J839" s="214"/>
      <c r="K839" s="429"/>
      <c r="L839" s="214"/>
      <c r="M839" s="215"/>
    </row>
    <row r="840" spans="1:13">
      <c r="A840" s="205"/>
      <c r="B840" s="219" t="s">
        <v>43</v>
      </c>
      <c r="C840" s="365" t="e">
        <f>#REF!</f>
        <v>#REF!</v>
      </c>
      <c r="D840" s="427" t="s">
        <v>13</v>
      </c>
      <c r="E840" s="208" t="e">
        <f t="shared" ref="E840:E846" si="334">E783</f>
        <v>#REF!</v>
      </c>
      <c r="F840" s="209" t="e">
        <f t="shared" si="333"/>
        <v>#REF!</v>
      </c>
      <c r="H840" s="203"/>
      <c r="I840" s="201" t="s">
        <v>593</v>
      </c>
      <c r="J840" s="219">
        <v>1.05</v>
      </c>
      <c r="K840" s="427" t="s">
        <v>25</v>
      </c>
      <c r="L840" s="208" t="e">
        <f>L827</f>
        <v>#REF!</v>
      </c>
      <c r="M840" s="220" t="e">
        <f t="shared" ref="M840:M844" si="335">+J840*L840</f>
        <v>#REF!</v>
      </c>
    </row>
    <row r="841" spans="1:13">
      <c r="A841" s="205"/>
      <c r="B841" s="201" t="s">
        <v>14</v>
      </c>
      <c r="C841" s="219" t="e">
        <f>SUM(C840)*2</f>
        <v>#REF!</v>
      </c>
      <c r="D841" s="427" t="s">
        <v>15</v>
      </c>
      <c r="E841" s="208" t="e">
        <f t="shared" si="334"/>
        <v>#REF!</v>
      </c>
      <c r="F841" s="209" t="e">
        <f t="shared" si="333"/>
        <v>#REF!</v>
      </c>
      <c r="H841" s="203"/>
      <c r="I841" s="219" t="s">
        <v>1138</v>
      </c>
      <c r="J841" s="219" t="e">
        <f>#REF!</f>
        <v>#REF!</v>
      </c>
      <c r="K841" s="427" t="s">
        <v>13</v>
      </c>
      <c r="L841" s="208" t="e">
        <f t="shared" ref="L841:L842" si="336">L828</f>
        <v>#REF!</v>
      </c>
      <c r="M841" s="220" t="e">
        <f t="shared" si="335"/>
        <v>#REF!</v>
      </c>
    </row>
    <row r="842" spans="1:13">
      <c r="A842" s="205"/>
      <c r="B842" s="201" t="s">
        <v>599</v>
      </c>
      <c r="C842" s="219">
        <f>+C844*0.5</f>
        <v>3.3333333333333335</v>
      </c>
      <c r="D842" s="427" t="s">
        <v>15</v>
      </c>
      <c r="E842" s="208" t="e">
        <f t="shared" si="334"/>
        <v>#REF!</v>
      </c>
      <c r="F842" s="209" t="e">
        <f t="shared" si="333"/>
        <v>#REF!</v>
      </c>
      <c r="H842" s="203"/>
      <c r="I842" s="201" t="s">
        <v>14</v>
      </c>
      <c r="J842" s="219" t="e">
        <f>SUM(J841:J841)*2</f>
        <v>#REF!</v>
      </c>
      <c r="K842" s="427" t="s">
        <v>15</v>
      </c>
      <c r="L842" s="208" t="e">
        <f t="shared" si="336"/>
        <v>#REF!</v>
      </c>
      <c r="M842" s="220" t="e">
        <f t="shared" si="335"/>
        <v>#REF!</v>
      </c>
    </row>
    <row r="843" spans="1:13">
      <c r="A843" s="205"/>
      <c r="B843" s="201" t="s">
        <v>600</v>
      </c>
      <c r="C843" s="219">
        <f>+C842/2</f>
        <v>1.6666666666666667</v>
      </c>
      <c r="D843" s="427" t="s">
        <v>15</v>
      </c>
      <c r="E843" s="208" t="e">
        <f t="shared" si="334"/>
        <v>#REF!</v>
      </c>
      <c r="F843" s="209" t="e">
        <f t="shared" si="333"/>
        <v>#REF!</v>
      </c>
      <c r="H843" s="203"/>
      <c r="I843" s="201" t="s">
        <v>594</v>
      </c>
      <c r="J843" s="219" t="e">
        <f>SUM(J841:J841)</f>
        <v>#REF!</v>
      </c>
      <c r="K843" s="427" t="s">
        <v>13</v>
      </c>
      <c r="L843" s="208" t="e">
        <f>#REF!</f>
        <v>#REF!</v>
      </c>
      <c r="M843" s="220" t="e">
        <f t="shared" si="335"/>
        <v>#REF!</v>
      </c>
    </row>
    <row r="844" spans="1:13">
      <c r="A844" s="205"/>
      <c r="B844" s="201" t="s">
        <v>602</v>
      </c>
      <c r="C844" s="365">
        <f>1/0.15</f>
        <v>6.666666666666667</v>
      </c>
      <c r="D844" s="427" t="s">
        <v>36</v>
      </c>
      <c r="E844" s="208">
        <f t="shared" si="334"/>
        <v>800</v>
      </c>
      <c r="F844" s="209">
        <f t="shared" si="333"/>
        <v>5333.3333333333339</v>
      </c>
      <c r="H844" s="203"/>
      <c r="I844" s="201" t="s">
        <v>602</v>
      </c>
      <c r="J844" s="365">
        <f>1/0.12</f>
        <v>8.3333333333333339</v>
      </c>
      <c r="K844" s="427" t="s">
        <v>36</v>
      </c>
      <c r="L844" s="208">
        <f t="shared" ref="L844" si="337">E844</f>
        <v>800</v>
      </c>
      <c r="M844" s="209">
        <f t="shared" si="335"/>
        <v>6666.666666666667</v>
      </c>
    </row>
    <row r="845" spans="1:13">
      <c r="A845" s="205"/>
      <c r="B845" s="201" t="s">
        <v>594</v>
      </c>
      <c r="C845" s="219" t="e">
        <f>+C840</f>
        <v>#REF!</v>
      </c>
      <c r="D845" s="427" t="s">
        <v>13</v>
      </c>
      <c r="E845" s="208" t="e">
        <f>#REF!</f>
        <v>#REF!</v>
      </c>
      <c r="F845" s="209" t="e">
        <f t="shared" si="333"/>
        <v>#REF!</v>
      </c>
      <c r="H845" s="203"/>
      <c r="I845" s="330" t="s">
        <v>671</v>
      </c>
      <c r="J845" s="325">
        <f>1/0.12</f>
        <v>8.3333333333333339</v>
      </c>
      <c r="K845" s="326" t="s">
        <v>11</v>
      </c>
      <c r="L845" s="327" t="e">
        <f>L831</f>
        <v>#REF!</v>
      </c>
      <c r="M845" s="328" t="e">
        <f t="shared" ref="M845:M847" si="338">J845*L845</f>
        <v>#REF!</v>
      </c>
    </row>
    <row r="846" spans="1:13">
      <c r="A846" s="205"/>
      <c r="B846" s="201" t="s">
        <v>28</v>
      </c>
      <c r="C846" s="219" t="e">
        <f>+C845</f>
        <v>#REF!</v>
      </c>
      <c r="D846" s="427" t="s">
        <v>13</v>
      </c>
      <c r="E846" s="208">
        <f t="shared" si="334"/>
        <v>10</v>
      </c>
      <c r="F846" s="209" t="e">
        <f t="shared" si="333"/>
        <v>#REF!</v>
      </c>
      <c r="H846" s="203"/>
      <c r="I846" s="330" t="s">
        <v>47</v>
      </c>
      <c r="J846" s="331">
        <v>1</v>
      </c>
      <c r="K846" s="326" t="s">
        <v>25</v>
      </c>
      <c r="L846" s="327" t="e">
        <f>L832</f>
        <v>#REF!</v>
      </c>
      <c r="M846" s="328" t="e">
        <f t="shared" si="338"/>
        <v>#REF!</v>
      </c>
    </row>
    <row r="847" spans="1:13">
      <c r="A847" s="205"/>
      <c r="B847" s="210"/>
      <c r="C847" s="207"/>
      <c r="D847" s="428"/>
      <c r="E847" s="208"/>
      <c r="F847" s="209"/>
      <c r="H847" s="203"/>
      <c r="I847" s="330" t="s">
        <v>7</v>
      </c>
      <c r="J847" s="325" t="e">
        <f>SUM(M840:M842)</f>
        <v>#REF!</v>
      </c>
      <c r="K847" s="326" t="s">
        <v>8</v>
      </c>
      <c r="L847" s="327" t="e">
        <f>L833</f>
        <v>#REF!</v>
      </c>
      <c r="M847" s="328" t="e">
        <f t="shared" si="338"/>
        <v>#REF!</v>
      </c>
    </row>
    <row r="848" spans="1:13">
      <c r="A848" s="198"/>
      <c r="B848" s="198" t="s">
        <v>603</v>
      </c>
      <c r="C848" s="199"/>
      <c r="D848" s="426"/>
      <c r="E848" s="199"/>
      <c r="F848" s="197" t="e">
        <f>SUM(F839:F847)/C844</f>
        <v>#REF!</v>
      </c>
      <c r="H848" s="223"/>
      <c r="I848" s="224"/>
      <c r="J848" s="224"/>
      <c r="K848" s="435"/>
      <c r="L848" s="224"/>
      <c r="M848" s="225"/>
    </row>
    <row r="849" spans="1:13">
      <c r="A849" s="367"/>
      <c r="B849" s="367"/>
      <c r="C849" s="368"/>
      <c r="D849" s="431"/>
      <c r="E849" s="368"/>
      <c r="F849" s="369"/>
      <c r="H849" s="198"/>
      <c r="I849" s="198" t="s">
        <v>548</v>
      </c>
      <c r="J849" s="199"/>
      <c r="K849" s="426"/>
      <c r="L849" s="199"/>
      <c r="M849" s="197" t="e">
        <f>SUM(M840:M848)</f>
        <v>#REF!</v>
      </c>
    </row>
    <row r="850" spans="1:13">
      <c r="A850" s="367"/>
      <c r="B850" s="367"/>
      <c r="C850" s="368"/>
      <c r="D850" s="431"/>
      <c r="E850" s="368"/>
      <c r="F850" s="369"/>
    </row>
    <row r="851" spans="1:13">
      <c r="A851" s="199"/>
      <c r="B851" s="364" t="s">
        <v>944</v>
      </c>
      <c r="C851" s="199"/>
      <c r="D851" s="426"/>
      <c r="E851" s="199"/>
      <c r="F851" s="199"/>
      <c r="H851" s="199"/>
      <c r="I851" s="364" t="s">
        <v>945</v>
      </c>
      <c r="J851" s="199"/>
      <c r="K851" s="426"/>
      <c r="L851" s="199"/>
      <c r="M851" s="199"/>
    </row>
    <row r="852" spans="1:13">
      <c r="A852" s="213"/>
      <c r="B852" s="214"/>
      <c r="C852" s="214"/>
      <c r="D852" s="429"/>
      <c r="E852" s="214"/>
      <c r="F852" s="215"/>
      <c r="H852" s="213"/>
      <c r="I852" s="214"/>
      <c r="J852" s="214"/>
      <c r="K852" s="429"/>
      <c r="L852" s="214"/>
      <c r="M852" s="215"/>
    </row>
    <row r="853" spans="1:13">
      <c r="A853" s="205"/>
      <c r="B853" s="219" t="s">
        <v>593</v>
      </c>
      <c r="C853" s="219">
        <f>0.15*0.3*1.05</f>
        <v>4.725E-2</v>
      </c>
      <c r="D853" s="427" t="s">
        <v>25</v>
      </c>
      <c r="E853" s="208" t="e">
        <f>E782</f>
        <v>#REF!</v>
      </c>
      <c r="F853" s="209" t="e">
        <f t="shared" ref="F853:F860" si="339">+C853*E853</f>
        <v>#REF!</v>
      </c>
      <c r="H853" s="205"/>
      <c r="I853" s="219" t="s">
        <v>593</v>
      </c>
      <c r="J853" s="219">
        <f>0.15*0.3*1.05</f>
        <v>4.725E-2</v>
      </c>
      <c r="K853" s="427" t="s">
        <v>25</v>
      </c>
      <c r="L853" s="208" t="e">
        <f>E853</f>
        <v>#REF!</v>
      </c>
      <c r="M853" s="209" t="e">
        <f t="shared" ref="M853:M860" si="340">+J853*L853</f>
        <v>#REF!</v>
      </c>
    </row>
    <row r="854" spans="1:13">
      <c r="A854" s="205"/>
      <c r="B854" s="219" t="s">
        <v>43</v>
      </c>
      <c r="C854" s="365" t="e">
        <f>#REF!</f>
        <v>#REF!</v>
      </c>
      <c r="D854" s="427" t="s">
        <v>13</v>
      </c>
      <c r="E854" s="208" t="e">
        <f t="shared" ref="E854:E860" si="341">E783</f>
        <v>#REF!</v>
      </c>
      <c r="F854" s="209" t="e">
        <f t="shared" si="339"/>
        <v>#REF!</v>
      </c>
      <c r="H854" s="205"/>
      <c r="I854" s="219" t="s">
        <v>43</v>
      </c>
      <c r="J854" s="365" t="e">
        <f>#REF!</f>
        <v>#REF!</v>
      </c>
      <c r="K854" s="427" t="s">
        <v>13</v>
      </c>
      <c r="L854" s="208" t="e">
        <f t="shared" ref="L854:L860" si="342">E854</f>
        <v>#REF!</v>
      </c>
      <c r="M854" s="209" t="e">
        <f t="shared" si="340"/>
        <v>#REF!</v>
      </c>
    </row>
    <row r="855" spans="1:13">
      <c r="A855" s="205"/>
      <c r="B855" s="201" t="s">
        <v>14</v>
      </c>
      <c r="C855" s="219" t="e">
        <f>SUM(C854)*2</f>
        <v>#REF!</v>
      </c>
      <c r="D855" s="427" t="s">
        <v>15</v>
      </c>
      <c r="E855" s="208" t="e">
        <f t="shared" si="341"/>
        <v>#REF!</v>
      </c>
      <c r="F855" s="209" t="e">
        <f t="shared" si="339"/>
        <v>#REF!</v>
      </c>
      <c r="H855" s="205"/>
      <c r="I855" s="201" t="s">
        <v>14</v>
      </c>
      <c r="J855" s="219" t="e">
        <f>SUM(J854)*2</f>
        <v>#REF!</v>
      </c>
      <c r="K855" s="427" t="s">
        <v>15</v>
      </c>
      <c r="L855" s="208" t="e">
        <f t="shared" si="342"/>
        <v>#REF!</v>
      </c>
      <c r="M855" s="209" t="e">
        <f t="shared" si="340"/>
        <v>#REF!</v>
      </c>
    </row>
    <row r="856" spans="1:13">
      <c r="A856" s="205"/>
      <c r="B856" s="201" t="s">
        <v>599</v>
      </c>
      <c r="C856" s="219">
        <f>+C858*0.5</f>
        <v>3.3333333333333335</v>
      </c>
      <c r="D856" s="427" t="s">
        <v>15</v>
      </c>
      <c r="E856" s="208" t="e">
        <f t="shared" si="341"/>
        <v>#REF!</v>
      </c>
      <c r="F856" s="209" t="e">
        <f t="shared" si="339"/>
        <v>#REF!</v>
      </c>
      <c r="H856" s="205"/>
      <c r="I856" s="201" t="s">
        <v>599</v>
      </c>
      <c r="J856" s="219">
        <f>+J858*0.5</f>
        <v>3.3333333333333335</v>
      </c>
      <c r="K856" s="427" t="s">
        <v>15</v>
      </c>
      <c r="L856" s="208" t="e">
        <f t="shared" si="342"/>
        <v>#REF!</v>
      </c>
      <c r="M856" s="209" t="e">
        <f t="shared" si="340"/>
        <v>#REF!</v>
      </c>
    </row>
    <row r="857" spans="1:13">
      <c r="A857" s="205"/>
      <c r="B857" s="201" t="s">
        <v>600</v>
      </c>
      <c r="C857" s="219">
        <f>+C856/2</f>
        <v>1.6666666666666667</v>
      </c>
      <c r="D857" s="427" t="s">
        <v>15</v>
      </c>
      <c r="E857" s="208" t="e">
        <f t="shared" si="341"/>
        <v>#REF!</v>
      </c>
      <c r="F857" s="209" t="e">
        <f t="shared" si="339"/>
        <v>#REF!</v>
      </c>
      <c r="H857" s="205"/>
      <c r="I857" s="201" t="s">
        <v>600</v>
      </c>
      <c r="J857" s="219">
        <f>+J856/2</f>
        <v>1.6666666666666667</v>
      </c>
      <c r="K857" s="427" t="s">
        <v>15</v>
      </c>
      <c r="L857" s="208" t="e">
        <f t="shared" si="342"/>
        <v>#REF!</v>
      </c>
      <c r="M857" s="209" t="e">
        <f t="shared" si="340"/>
        <v>#REF!</v>
      </c>
    </row>
    <row r="858" spans="1:13">
      <c r="A858" s="205"/>
      <c r="B858" s="201" t="s">
        <v>602</v>
      </c>
      <c r="C858" s="365">
        <f>1/0.15</f>
        <v>6.666666666666667</v>
      </c>
      <c r="D858" s="427" t="s">
        <v>36</v>
      </c>
      <c r="E858" s="208">
        <f t="shared" si="341"/>
        <v>800</v>
      </c>
      <c r="F858" s="209">
        <f t="shared" si="339"/>
        <v>5333.3333333333339</v>
      </c>
      <c r="H858" s="205"/>
      <c r="I858" s="201" t="s">
        <v>602</v>
      </c>
      <c r="J858" s="365">
        <f>1/0.15</f>
        <v>6.666666666666667</v>
      </c>
      <c r="K858" s="427" t="s">
        <v>36</v>
      </c>
      <c r="L858" s="208">
        <f t="shared" si="342"/>
        <v>800</v>
      </c>
      <c r="M858" s="209">
        <f t="shared" si="340"/>
        <v>5333.3333333333339</v>
      </c>
    </row>
    <row r="859" spans="1:13">
      <c r="A859" s="205"/>
      <c r="B859" s="201" t="s">
        <v>594</v>
      </c>
      <c r="C859" s="219" t="e">
        <f>+C854</f>
        <v>#REF!</v>
      </c>
      <c r="D859" s="427" t="s">
        <v>13</v>
      </c>
      <c r="E859" s="208" t="e">
        <f>#REF!</f>
        <v>#REF!</v>
      </c>
      <c r="F859" s="209" t="e">
        <f t="shared" si="339"/>
        <v>#REF!</v>
      </c>
      <c r="H859" s="205"/>
      <c r="I859" s="201" t="s">
        <v>594</v>
      </c>
      <c r="J859" s="219" t="e">
        <f>+J854</f>
        <v>#REF!</v>
      </c>
      <c r="K859" s="427" t="s">
        <v>13</v>
      </c>
      <c r="L859" s="208" t="e">
        <f>#REF!</f>
        <v>#REF!</v>
      </c>
      <c r="M859" s="209" t="e">
        <f t="shared" si="340"/>
        <v>#REF!</v>
      </c>
    </row>
    <row r="860" spans="1:13">
      <c r="A860" s="205"/>
      <c r="B860" s="201" t="s">
        <v>28</v>
      </c>
      <c r="C860" s="219" t="e">
        <f>+C859</f>
        <v>#REF!</v>
      </c>
      <c r="D860" s="427" t="s">
        <v>13</v>
      </c>
      <c r="E860" s="208">
        <f t="shared" si="341"/>
        <v>10</v>
      </c>
      <c r="F860" s="209" t="e">
        <f t="shared" si="339"/>
        <v>#REF!</v>
      </c>
      <c r="H860" s="205"/>
      <c r="I860" s="201" t="s">
        <v>28</v>
      </c>
      <c r="J860" s="219" t="e">
        <f>+J859</f>
        <v>#REF!</v>
      </c>
      <c r="K860" s="427" t="s">
        <v>13</v>
      </c>
      <c r="L860" s="208">
        <f t="shared" si="342"/>
        <v>10</v>
      </c>
      <c r="M860" s="209" t="e">
        <f t="shared" si="340"/>
        <v>#REF!</v>
      </c>
    </row>
    <row r="861" spans="1:13">
      <c r="A861" s="205"/>
      <c r="B861" s="210"/>
      <c r="C861" s="207"/>
      <c r="D861" s="428"/>
      <c r="E861" s="208"/>
      <c r="F861" s="209"/>
      <c r="H861" s="205"/>
      <c r="I861" s="210"/>
      <c r="J861" s="207"/>
      <c r="K861" s="428"/>
      <c r="L861" s="208"/>
      <c r="M861" s="209"/>
    </row>
    <row r="862" spans="1:13">
      <c r="A862" s="198"/>
      <c r="B862" s="198" t="s">
        <v>603</v>
      </c>
      <c r="C862" s="199"/>
      <c r="D862" s="426"/>
      <c r="E862" s="199"/>
      <c r="F862" s="197" t="e">
        <f>SUM(F853:F861)/C858</f>
        <v>#REF!</v>
      </c>
      <c r="H862" s="198"/>
      <c r="I862" s="198" t="s">
        <v>603</v>
      </c>
      <c r="J862" s="199"/>
      <c r="K862" s="426"/>
      <c r="L862" s="199"/>
      <c r="M862" s="197" t="e">
        <f>SUM(M853:M861)/J858</f>
        <v>#REF!</v>
      </c>
    </row>
    <row r="863" spans="1:13">
      <c r="A863" s="367"/>
      <c r="B863" s="367"/>
      <c r="C863" s="368"/>
      <c r="D863" s="431"/>
      <c r="E863" s="368"/>
      <c r="F863" s="369"/>
    </row>
    <row r="864" spans="1:13">
      <c r="A864" s="199"/>
      <c r="B864" s="364" t="s">
        <v>982</v>
      </c>
      <c r="C864" s="199"/>
      <c r="D864" s="426"/>
      <c r="E864" s="199"/>
      <c r="F864" s="199"/>
      <c r="H864" s="199"/>
      <c r="I864" s="364" t="s">
        <v>983</v>
      </c>
      <c r="J864" s="199"/>
      <c r="K864" s="426"/>
      <c r="L864" s="199"/>
      <c r="M864" s="199"/>
    </row>
    <row r="865" spans="1:13">
      <c r="A865" s="213"/>
      <c r="B865" s="214"/>
      <c r="C865" s="214"/>
      <c r="D865" s="429"/>
      <c r="E865" s="214"/>
      <c r="F865" s="215"/>
      <c r="H865" s="213"/>
      <c r="I865" s="214"/>
      <c r="J865" s="214"/>
      <c r="K865" s="429"/>
      <c r="L865" s="214"/>
      <c r="M865" s="215"/>
    </row>
    <row r="866" spans="1:13">
      <c r="A866" s="205"/>
      <c r="B866" s="219" t="s">
        <v>593</v>
      </c>
      <c r="C866" s="219">
        <f>0.15*0.5*1.05</f>
        <v>7.8750000000000001E-2</v>
      </c>
      <c r="D866" s="427" t="s">
        <v>25</v>
      </c>
      <c r="E866" s="208" t="e">
        <f>E853</f>
        <v>#REF!</v>
      </c>
      <c r="F866" s="209" t="e">
        <f t="shared" ref="F866:F873" si="343">+C866*E866</f>
        <v>#REF!</v>
      </c>
      <c r="H866" s="205"/>
      <c r="I866" s="219" t="s">
        <v>593</v>
      </c>
      <c r="J866" s="219">
        <f>0.15*0.5*1.05</f>
        <v>7.8750000000000001E-2</v>
      </c>
      <c r="K866" s="427" t="s">
        <v>25</v>
      </c>
      <c r="L866" s="208" t="e">
        <f>E866</f>
        <v>#REF!</v>
      </c>
      <c r="M866" s="209" t="e">
        <f t="shared" ref="M866:M873" si="344">+J866*L866</f>
        <v>#REF!</v>
      </c>
    </row>
    <row r="867" spans="1:13">
      <c r="A867" s="205"/>
      <c r="B867" s="219" t="s">
        <v>43</v>
      </c>
      <c r="C867" s="365" t="e">
        <f>#REF!</f>
        <v>#REF!</v>
      </c>
      <c r="D867" s="427" t="s">
        <v>13</v>
      </c>
      <c r="E867" s="208" t="e">
        <f t="shared" ref="E867:E873" si="345">E854</f>
        <v>#REF!</v>
      </c>
      <c r="F867" s="209" t="e">
        <f t="shared" si="343"/>
        <v>#REF!</v>
      </c>
      <c r="H867" s="205"/>
      <c r="I867" s="219" t="s">
        <v>43</v>
      </c>
      <c r="J867" s="365" t="e">
        <f>#REF!</f>
        <v>#REF!</v>
      </c>
      <c r="K867" s="427" t="s">
        <v>13</v>
      </c>
      <c r="L867" s="208" t="e">
        <f t="shared" ref="L867:L873" si="346">E867</f>
        <v>#REF!</v>
      </c>
      <c r="M867" s="209" t="e">
        <f t="shared" si="344"/>
        <v>#REF!</v>
      </c>
    </row>
    <row r="868" spans="1:13">
      <c r="A868" s="205"/>
      <c r="B868" s="201" t="s">
        <v>14</v>
      </c>
      <c r="C868" s="219" t="e">
        <f>SUM(C867)*2</f>
        <v>#REF!</v>
      </c>
      <c r="D868" s="427" t="s">
        <v>15</v>
      </c>
      <c r="E868" s="208" t="e">
        <f t="shared" si="345"/>
        <v>#REF!</v>
      </c>
      <c r="F868" s="209" t="e">
        <f t="shared" si="343"/>
        <v>#REF!</v>
      </c>
      <c r="H868" s="205"/>
      <c r="I868" s="201" t="s">
        <v>14</v>
      </c>
      <c r="J868" s="219" t="e">
        <f>SUM(J867)*2</f>
        <v>#REF!</v>
      </c>
      <c r="K868" s="427" t="s">
        <v>15</v>
      </c>
      <c r="L868" s="208" t="e">
        <f t="shared" si="346"/>
        <v>#REF!</v>
      </c>
      <c r="M868" s="209" t="e">
        <f t="shared" si="344"/>
        <v>#REF!</v>
      </c>
    </row>
    <row r="869" spans="1:13">
      <c r="A869" s="205"/>
      <c r="B869" s="201" t="s">
        <v>599</v>
      </c>
      <c r="C869" s="219">
        <f>+C871*0.5</f>
        <v>3.3333333333333335</v>
      </c>
      <c r="D869" s="427" t="s">
        <v>15</v>
      </c>
      <c r="E869" s="208" t="e">
        <f t="shared" si="345"/>
        <v>#REF!</v>
      </c>
      <c r="F869" s="209" t="e">
        <f t="shared" si="343"/>
        <v>#REF!</v>
      </c>
      <c r="H869" s="205"/>
      <c r="I869" s="201" t="s">
        <v>599</v>
      </c>
      <c r="J869" s="219">
        <f>+J871*0.5</f>
        <v>3.3333333333333335</v>
      </c>
      <c r="K869" s="427" t="s">
        <v>15</v>
      </c>
      <c r="L869" s="208" t="e">
        <f t="shared" si="346"/>
        <v>#REF!</v>
      </c>
      <c r="M869" s="209" t="e">
        <f t="shared" si="344"/>
        <v>#REF!</v>
      </c>
    </row>
    <row r="870" spans="1:13">
      <c r="A870" s="205"/>
      <c r="B870" s="201" t="s">
        <v>600</v>
      </c>
      <c r="C870" s="219">
        <f>+C869/2</f>
        <v>1.6666666666666667</v>
      </c>
      <c r="D870" s="427" t="s">
        <v>15</v>
      </c>
      <c r="E870" s="208" t="e">
        <f t="shared" si="345"/>
        <v>#REF!</v>
      </c>
      <c r="F870" s="209" t="e">
        <f t="shared" si="343"/>
        <v>#REF!</v>
      </c>
      <c r="H870" s="205"/>
      <c r="I870" s="201" t="s">
        <v>600</v>
      </c>
      <c r="J870" s="219">
        <f>+J869/2</f>
        <v>1.6666666666666667</v>
      </c>
      <c r="K870" s="427" t="s">
        <v>15</v>
      </c>
      <c r="L870" s="208" t="e">
        <f t="shared" si="346"/>
        <v>#REF!</v>
      </c>
      <c r="M870" s="209" t="e">
        <f t="shared" si="344"/>
        <v>#REF!</v>
      </c>
    </row>
    <row r="871" spans="1:13">
      <c r="A871" s="205"/>
      <c r="B871" s="201" t="s">
        <v>602</v>
      </c>
      <c r="C871" s="365">
        <f>1/0.15</f>
        <v>6.666666666666667</v>
      </c>
      <c r="D871" s="427" t="s">
        <v>36</v>
      </c>
      <c r="E871" s="208">
        <f t="shared" si="345"/>
        <v>800</v>
      </c>
      <c r="F871" s="209">
        <f t="shared" si="343"/>
        <v>5333.3333333333339</v>
      </c>
      <c r="H871" s="205"/>
      <c r="I871" s="201" t="s">
        <v>602</v>
      </c>
      <c r="J871" s="365">
        <f>1/0.15</f>
        <v>6.666666666666667</v>
      </c>
      <c r="K871" s="427" t="s">
        <v>36</v>
      </c>
      <c r="L871" s="208">
        <f t="shared" si="346"/>
        <v>800</v>
      </c>
      <c r="M871" s="209">
        <f t="shared" si="344"/>
        <v>5333.3333333333339</v>
      </c>
    </row>
    <row r="872" spans="1:13">
      <c r="A872" s="205"/>
      <c r="B872" s="201" t="s">
        <v>594</v>
      </c>
      <c r="C872" s="219" t="e">
        <f>+C867</f>
        <v>#REF!</v>
      </c>
      <c r="D872" s="427" t="s">
        <v>13</v>
      </c>
      <c r="E872" s="208" t="e">
        <f>#REF!</f>
        <v>#REF!</v>
      </c>
      <c r="F872" s="209" t="e">
        <f t="shared" si="343"/>
        <v>#REF!</v>
      </c>
      <c r="H872" s="205"/>
      <c r="I872" s="201" t="s">
        <v>594</v>
      </c>
      <c r="J872" s="219" t="e">
        <f>+J867</f>
        <v>#REF!</v>
      </c>
      <c r="K872" s="427" t="s">
        <v>13</v>
      </c>
      <c r="L872" s="208" t="e">
        <f>#REF!</f>
        <v>#REF!</v>
      </c>
      <c r="M872" s="209" t="e">
        <f t="shared" si="344"/>
        <v>#REF!</v>
      </c>
    </row>
    <row r="873" spans="1:13">
      <c r="A873" s="205"/>
      <c r="B873" s="201" t="s">
        <v>28</v>
      </c>
      <c r="C873" s="219" t="e">
        <f>+C872</f>
        <v>#REF!</v>
      </c>
      <c r="D873" s="427" t="s">
        <v>13</v>
      </c>
      <c r="E873" s="208">
        <f t="shared" si="345"/>
        <v>10</v>
      </c>
      <c r="F873" s="209" t="e">
        <f t="shared" si="343"/>
        <v>#REF!</v>
      </c>
      <c r="H873" s="205"/>
      <c r="I873" s="201" t="s">
        <v>28</v>
      </c>
      <c r="J873" s="219" t="e">
        <f>+J872</f>
        <v>#REF!</v>
      </c>
      <c r="K873" s="427" t="s">
        <v>13</v>
      </c>
      <c r="L873" s="208">
        <f t="shared" si="346"/>
        <v>10</v>
      </c>
      <c r="M873" s="209" t="e">
        <f t="shared" si="344"/>
        <v>#REF!</v>
      </c>
    </row>
    <row r="874" spans="1:13">
      <c r="A874" s="205"/>
      <c r="B874" s="210"/>
      <c r="C874" s="207"/>
      <c r="D874" s="428"/>
      <c r="E874" s="208"/>
      <c r="F874" s="209"/>
      <c r="H874" s="205"/>
      <c r="I874" s="210"/>
      <c r="J874" s="207"/>
      <c r="K874" s="428"/>
      <c r="L874" s="208"/>
      <c r="M874" s="209"/>
    </row>
    <row r="875" spans="1:13">
      <c r="A875" s="198"/>
      <c r="B875" s="198" t="s">
        <v>603</v>
      </c>
      <c r="C875" s="199"/>
      <c r="D875" s="426"/>
      <c r="E875" s="199"/>
      <c r="F875" s="197" t="e">
        <f>SUM(F866:F874)/C871</f>
        <v>#REF!</v>
      </c>
      <c r="H875" s="198"/>
      <c r="I875" s="198" t="s">
        <v>603</v>
      </c>
      <c r="J875" s="199"/>
      <c r="K875" s="426"/>
      <c r="L875" s="199"/>
      <c r="M875" s="197" t="e">
        <f>SUM(M866:M874)/J871</f>
        <v>#REF!</v>
      </c>
    </row>
    <row r="876" spans="1:13">
      <c r="A876" s="367"/>
      <c r="B876" s="367"/>
      <c r="C876" s="368"/>
      <c r="D876" s="431"/>
      <c r="E876" s="368"/>
      <c r="F876" s="369"/>
    </row>
    <row r="877" spans="1:13">
      <c r="A877" s="367"/>
      <c r="B877" s="367"/>
      <c r="C877" s="368"/>
      <c r="D877" s="431"/>
      <c r="E877" s="368"/>
      <c r="F877" s="369"/>
    </row>
    <row r="878" spans="1:13">
      <c r="A878" s="199"/>
      <c r="B878" s="364" t="s">
        <v>984</v>
      </c>
      <c r="C878" s="199"/>
      <c r="D878" s="426"/>
      <c r="E878" s="199"/>
      <c r="F878" s="199"/>
    </row>
    <row r="879" spans="1:13">
      <c r="A879" s="213"/>
      <c r="B879" s="214"/>
      <c r="C879" s="214"/>
      <c r="D879" s="429"/>
      <c r="E879" s="214"/>
      <c r="F879" s="215"/>
    </row>
    <row r="880" spans="1:13">
      <c r="A880" s="205"/>
      <c r="B880" s="219" t="s">
        <v>593</v>
      </c>
      <c r="C880" s="219">
        <f>0.15*0.5*1.05</f>
        <v>7.8750000000000001E-2</v>
      </c>
      <c r="D880" s="427" t="s">
        <v>25</v>
      </c>
      <c r="E880" s="208" t="e">
        <f>E866</f>
        <v>#REF!</v>
      </c>
      <c r="F880" s="209" t="e">
        <f t="shared" ref="F880:F887" si="347">+C880*E880</f>
        <v>#REF!</v>
      </c>
    </row>
    <row r="881" spans="1:14">
      <c r="A881" s="205"/>
      <c r="B881" s="219" t="s">
        <v>43</v>
      </c>
      <c r="C881" s="365" t="e">
        <f>C867</f>
        <v>#REF!</v>
      </c>
      <c r="D881" s="427" t="s">
        <v>13</v>
      </c>
      <c r="E881" s="208" t="e">
        <f t="shared" ref="E881:E887" si="348">E867</f>
        <v>#REF!</v>
      </c>
      <c r="F881" s="209" t="e">
        <f t="shared" si="347"/>
        <v>#REF!</v>
      </c>
    </row>
    <row r="882" spans="1:14">
      <c r="A882" s="205"/>
      <c r="B882" s="201" t="s">
        <v>14</v>
      </c>
      <c r="C882" s="219" t="e">
        <f>SUM(C881)*2</f>
        <v>#REF!</v>
      </c>
      <c r="D882" s="427" t="s">
        <v>15</v>
      </c>
      <c r="E882" s="208" t="e">
        <f t="shared" si="348"/>
        <v>#REF!</v>
      </c>
      <c r="F882" s="209" t="e">
        <f t="shared" si="347"/>
        <v>#REF!</v>
      </c>
    </row>
    <row r="883" spans="1:14">
      <c r="A883" s="205"/>
      <c r="B883" s="201" t="s">
        <v>599</v>
      </c>
      <c r="C883" s="219">
        <f>+C885*0.5</f>
        <v>3.3333333333333335</v>
      </c>
      <c r="D883" s="427" t="s">
        <v>15</v>
      </c>
      <c r="E883" s="208" t="e">
        <f t="shared" si="348"/>
        <v>#REF!</v>
      </c>
      <c r="F883" s="209" t="e">
        <f t="shared" si="347"/>
        <v>#REF!</v>
      </c>
    </row>
    <row r="884" spans="1:14">
      <c r="A884" s="205"/>
      <c r="B884" s="201" t="s">
        <v>600</v>
      </c>
      <c r="C884" s="219">
        <f>+C883/2</f>
        <v>1.6666666666666667</v>
      </c>
      <c r="D884" s="427" t="s">
        <v>15</v>
      </c>
      <c r="E884" s="208" t="e">
        <f t="shared" si="348"/>
        <v>#REF!</v>
      </c>
      <c r="F884" s="209" t="e">
        <f t="shared" si="347"/>
        <v>#REF!</v>
      </c>
    </row>
    <row r="885" spans="1:14">
      <c r="A885" s="205"/>
      <c r="B885" s="201" t="s">
        <v>602</v>
      </c>
      <c r="C885" s="365">
        <f>1/0.15</f>
        <v>6.666666666666667</v>
      </c>
      <c r="D885" s="427" t="s">
        <v>36</v>
      </c>
      <c r="E885" s="208">
        <f t="shared" si="348"/>
        <v>800</v>
      </c>
      <c r="F885" s="209">
        <f t="shared" si="347"/>
        <v>5333.3333333333339</v>
      </c>
    </row>
    <row r="886" spans="1:14">
      <c r="A886" s="205"/>
      <c r="B886" s="201" t="s">
        <v>594</v>
      </c>
      <c r="C886" s="219" t="e">
        <f>+C881</f>
        <v>#REF!</v>
      </c>
      <c r="D886" s="427" t="s">
        <v>13</v>
      </c>
      <c r="E886" s="208" t="e">
        <f>#REF!</f>
        <v>#REF!</v>
      </c>
      <c r="F886" s="209" t="e">
        <f t="shared" si="347"/>
        <v>#REF!</v>
      </c>
    </row>
    <row r="887" spans="1:14">
      <c r="A887" s="205"/>
      <c r="B887" s="201" t="s">
        <v>28</v>
      </c>
      <c r="C887" s="219" t="e">
        <f>+C886</f>
        <v>#REF!</v>
      </c>
      <c r="D887" s="427" t="s">
        <v>13</v>
      </c>
      <c r="E887" s="208">
        <f t="shared" si="348"/>
        <v>10</v>
      </c>
      <c r="F887" s="209" t="e">
        <f t="shared" si="347"/>
        <v>#REF!</v>
      </c>
    </row>
    <row r="888" spans="1:14">
      <c r="A888" s="205"/>
      <c r="B888" s="210"/>
      <c r="C888" s="207"/>
      <c r="D888" s="428"/>
      <c r="E888" s="208"/>
      <c r="F888" s="209"/>
    </row>
    <row r="889" spans="1:14">
      <c r="A889" s="198"/>
      <c r="B889" s="198" t="s">
        <v>603</v>
      </c>
      <c r="C889" s="199"/>
      <c r="D889" s="426"/>
      <c r="E889" s="199"/>
      <c r="F889" s="197" t="e">
        <f>SUM(F880:F888)/C885</f>
        <v>#REF!</v>
      </c>
    </row>
    <row r="890" spans="1:14">
      <c r="A890" s="367"/>
      <c r="B890" s="367"/>
      <c r="C890" s="368"/>
      <c r="D890" s="431"/>
      <c r="E890" s="368"/>
      <c r="F890" s="369"/>
    </row>
    <row r="891" spans="1:14">
      <c r="A891" s="367"/>
      <c r="B891" s="367"/>
      <c r="C891" s="368"/>
      <c r="D891" s="431"/>
      <c r="E891" s="368"/>
      <c r="F891" s="369"/>
    </row>
    <row r="892" spans="1:14">
      <c r="A892" s="367"/>
      <c r="B892" s="367"/>
      <c r="C892" s="368"/>
      <c r="D892" s="431"/>
      <c r="E892" s="368"/>
      <c r="F892" s="369"/>
    </row>
    <row r="893" spans="1:14">
      <c r="A893" s="367"/>
      <c r="B893" s="367"/>
      <c r="C893" s="368"/>
      <c r="D893" s="431"/>
      <c r="E893" s="368"/>
      <c r="F893" s="369"/>
    </row>
    <row r="894" spans="1:14">
      <c r="A894" s="199"/>
      <c r="B894" s="364" t="s">
        <v>768</v>
      </c>
      <c r="C894" s="199"/>
      <c r="D894" s="426"/>
      <c r="E894" s="199"/>
      <c r="F894" s="199"/>
      <c r="H894" s="199"/>
      <c r="I894" s="364" t="s">
        <v>769</v>
      </c>
      <c r="J894" s="199"/>
      <c r="K894" s="426"/>
      <c r="L894" s="199"/>
      <c r="M894" s="199"/>
    </row>
    <row r="895" spans="1:14">
      <c r="A895" s="213"/>
      <c r="B895" s="214"/>
      <c r="C895" s="214">
        <v>24.51</v>
      </c>
      <c r="D895" s="429" t="s">
        <v>11</v>
      </c>
      <c r="E895" s="214"/>
      <c r="F895" s="215"/>
      <c r="H895" s="213"/>
      <c r="I895" s="214"/>
      <c r="J895" s="214">
        <v>18.98</v>
      </c>
      <c r="K895" s="429" t="s">
        <v>11</v>
      </c>
      <c r="L895" s="214"/>
      <c r="M895" s="215"/>
    </row>
    <row r="896" spans="1:14">
      <c r="A896" s="205"/>
      <c r="B896" s="374" t="s">
        <v>777</v>
      </c>
      <c r="C896" s="375"/>
      <c r="D896" s="376"/>
      <c r="E896" s="377"/>
      <c r="F896" s="375"/>
      <c r="G896" s="378"/>
      <c r="H896" s="205"/>
      <c r="I896" s="374" t="s">
        <v>777</v>
      </c>
      <c r="J896" s="375"/>
      <c r="K896" s="376"/>
      <c r="L896" s="377"/>
      <c r="M896" s="375"/>
      <c r="N896" s="378"/>
    </row>
    <row r="897" spans="1:14" ht="25.5">
      <c r="A897" s="205"/>
      <c r="B897" s="379" t="s">
        <v>793</v>
      </c>
      <c r="C897" s="375">
        <f>24.51*0.05*1.05</f>
        <v>1.2867750000000002</v>
      </c>
      <c r="D897" s="376" t="s">
        <v>25</v>
      </c>
      <c r="E897" s="380" t="e">
        <f>E801</f>
        <v>#REF!</v>
      </c>
      <c r="F897" s="375" t="e">
        <f>C897*E897</f>
        <v>#REF!</v>
      </c>
      <c r="G897" s="378"/>
      <c r="H897" s="205"/>
      <c r="I897" s="379" t="s">
        <v>793</v>
      </c>
      <c r="J897" s="375">
        <f>18.98*0.05*1.05</f>
        <v>0.99645000000000006</v>
      </c>
      <c r="K897" s="376" t="s">
        <v>25</v>
      </c>
      <c r="L897" s="380" t="e">
        <f>E897</f>
        <v>#REF!</v>
      </c>
      <c r="M897" s="375" t="e">
        <f>J897*L897</f>
        <v>#REF!</v>
      </c>
      <c r="N897" s="378"/>
    </row>
    <row r="898" spans="1:14">
      <c r="A898" s="205"/>
      <c r="B898" s="381" t="s">
        <v>778</v>
      </c>
      <c r="C898" s="382">
        <v>1</v>
      </c>
      <c r="D898" s="376" t="s">
        <v>34</v>
      </c>
      <c r="E898" s="383">
        <v>14000</v>
      </c>
      <c r="F898" s="375">
        <f t="shared" ref="F898:F901" si="349">C898*E898</f>
        <v>14000</v>
      </c>
      <c r="G898" s="378"/>
      <c r="H898" s="205"/>
      <c r="I898" s="381" t="s">
        <v>778</v>
      </c>
      <c r="J898" s="382">
        <v>1</v>
      </c>
      <c r="K898" s="376" t="s">
        <v>34</v>
      </c>
      <c r="L898" s="383">
        <v>14000</v>
      </c>
      <c r="M898" s="375">
        <f t="shared" ref="M898:M901" si="350">J898*L898</f>
        <v>14000</v>
      </c>
      <c r="N898" s="378"/>
    </row>
    <row r="899" spans="1:14">
      <c r="A899" s="205"/>
      <c r="B899" s="384" t="s">
        <v>779</v>
      </c>
      <c r="C899" s="375">
        <f>5.4*C898</f>
        <v>5.4</v>
      </c>
      <c r="D899" s="376" t="s">
        <v>0</v>
      </c>
      <c r="E899" s="383" t="e">
        <f>#REF!</f>
        <v>#REF!</v>
      </c>
      <c r="F899" s="375" t="e">
        <f t="shared" si="349"/>
        <v>#REF!</v>
      </c>
      <c r="G899" s="378"/>
      <c r="H899" s="205"/>
      <c r="I899" s="384" t="s">
        <v>779</v>
      </c>
      <c r="J899" s="375">
        <f>5.4*J898</f>
        <v>5.4</v>
      </c>
      <c r="K899" s="376" t="s">
        <v>0</v>
      </c>
      <c r="L899" s="383" t="e">
        <f>#REF!</f>
        <v>#REF!</v>
      </c>
      <c r="M899" s="375" t="e">
        <f t="shared" si="350"/>
        <v>#REF!</v>
      </c>
      <c r="N899" s="378"/>
    </row>
    <row r="900" spans="1:14">
      <c r="A900" s="205"/>
      <c r="B900" s="384" t="s">
        <v>729</v>
      </c>
      <c r="C900" s="375" t="e">
        <f>#REF!</f>
        <v>#REF!</v>
      </c>
      <c r="D900" s="376" t="s">
        <v>0</v>
      </c>
      <c r="E900" s="383" t="e">
        <f>E899</f>
        <v>#REF!</v>
      </c>
      <c r="F900" s="375" t="e">
        <f t="shared" si="349"/>
        <v>#REF!</v>
      </c>
      <c r="G900" s="378"/>
      <c r="H900" s="205"/>
      <c r="I900" s="384" t="s">
        <v>729</v>
      </c>
      <c r="J900" s="375" t="e">
        <f>#REF!</f>
        <v>#REF!</v>
      </c>
      <c r="K900" s="376" t="s">
        <v>0</v>
      </c>
      <c r="L900" s="383" t="e">
        <f>L899</f>
        <v>#REF!</v>
      </c>
      <c r="M900" s="375" t="e">
        <f t="shared" si="350"/>
        <v>#REF!</v>
      </c>
      <c r="N900" s="378"/>
    </row>
    <row r="901" spans="1:14">
      <c r="A901" s="205"/>
      <c r="B901" s="384" t="s">
        <v>780</v>
      </c>
      <c r="C901" s="375" t="e">
        <f>C900</f>
        <v>#REF!</v>
      </c>
      <c r="D901" s="376" t="s">
        <v>0</v>
      </c>
      <c r="E901" s="383" t="e">
        <f>E900</f>
        <v>#REF!</v>
      </c>
      <c r="F901" s="375" t="e">
        <f t="shared" si="349"/>
        <v>#REF!</v>
      </c>
      <c r="G901" s="378"/>
      <c r="H901" s="205"/>
      <c r="I901" s="384" t="s">
        <v>780</v>
      </c>
      <c r="J901" s="375" t="e">
        <f>J900</f>
        <v>#REF!</v>
      </c>
      <c r="K901" s="376" t="s">
        <v>0</v>
      </c>
      <c r="L901" s="383" t="e">
        <f>L900</f>
        <v>#REF!</v>
      </c>
      <c r="M901" s="375" t="e">
        <f t="shared" si="350"/>
        <v>#REF!</v>
      </c>
      <c r="N901" s="378"/>
    </row>
    <row r="902" spans="1:14">
      <c r="A902" s="205"/>
      <c r="B902" s="385" t="s">
        <v>781</v>
      </c>
      <c r="C902" s="375"/>
      <c r="D902" s="376"/>
      <c r="E902" s="380"/>
      <c r="F902" s="375"/>
      <c r="G902" s="378"/>
      <c r="H902" s="205"/>
      <c r="I902" s="385" t="s">
        <v>781</v>
      </c>
      <c r="J902" s="375"/>
      <c r="K902" s="376"/>
      <c r="L902" s="380"/>
      <c r="M902" s="375"/>
      <c r="N902" s="378"/>
    </row>
    <row r="903" spans="1:14">
      <c r="A903" s="205"/>
      <c r="B903" s="379" t="s">
        <v>794</v>
      </c>
      <c r="C903" s="375" t="e">
        <f>#REF!*1.05</f>
        <v>#REF!</v>
      </c>
      <c r="D903" s="376" t="s">
        <v>25</v>
      </c>
      <c r="E903" s="380" t="e">
        <f>E897</f>
        <v>#REF!</v>
      </c>
      <c r="F903" s="375" t="e">
        <f>C903*E903</f>
        <v>#REF!</v>
      </c>
      <c r="G903" s="378"/>
      <c r="H903" s="205"/>
      <c r="I903" s="379" t="s">
        <v>794</v>
      </c>
      <c r="J903" s="375" t="e">
        <f>#REF!*1.05</f>
        <v>#REF!</v>
      </c>
      <c r="K903" s="376" t="s">
        <v>25</v>
      </c>
      <c r="L903" s="380" t="e">
        <f>L897</f>
        <v>#REF!</v>
      </c>
      <c r="M903" s="375" t="e">
        <f>J903*L903</f>
        <v>#REF!</v>
      </c>
      <c r="N903" s="378"/>
    </row>
    <row r="904" spans="1:14">
      <c r="A904" s="201"/>
      <c r="B904" s="384" t="s">
        <v>782</v>
      </c>
      <c r="C904" s="375" t="e">
        <f>#REF!</f>
        <v>#REF!</v>
      </c>
      <c r="D904" s="376" t="s">
        <v>0</v>
      </c>
      <c r="E904" s="377">
        <v>3200</v>
      </c>
      <c r="F904" s="375" t="e">
        <f t="shared" ref="F904:F906" si="351">C904*E904</f>
        <v>#REF!</v>
      </c>
      <c r="G904" s="378"/>
      <c r="H904" s="201"/>
      <c r="I904" s="384" t="s">
        <v>782</v>
      </c>
      <c r="J904" s="375" t="e">
        <f>#REF!</f>
        <v>#REF!</v>
      </c>
      <c r="K904" s="376" t="s">
        <v>0</v>
      </c>
      <c r="L904" s="377">
        <v>3200</v>
      </c>
      <c r="M904" s="375" t="e">
        <f t="shared" ref="M904:M906" si="352">J904*L904</f>
        <v>#REF!</v>
      </c>
      <c r="N904" s="378"/>
    </row>
    <row r="905" spans="1:14">
      <c r="A905" s="205"/>
      <c r="B905" s="384" t="s">
        <v>795</v>
      </c>
      <c r="C905" s="375" t="e">
        <f>#REF!</f>
        <v>#REF!</v>
      </c>
      <c r="D905" s="376" t="s">
        <v>0</v>
      </c>
      <c r="E905" s="377">
        <v>3200</v>
      </c>
      <c r="F905" s="375" t="e">
        <f t="shared" si="351"/>
        <v>#REF!</v>
      </c>
      <c r="G905" s="378"/>
      <c r="H905" s="205"/>
      <c r="I905" s="384" t="s">
        <v>795</v>
      </c>
      <c r="J905" s="375" t="e">
        <f>#REF!</f>
        <v>#REF!</v>
      </c>
      <c r="K905" s="376" t="s">
        <v>0</v>
      </c>
      <c r="L905" s="377">
        <v>3200</v>
      </c>
      <c r="M905" s="375" t="e">
        <f t="shared" si="352"/>
        <v>#REF!</v>
      </c>
      <c r="N905" s="378"/>
    </row>
    <row r="906" spans="1:14">
      <c r="A906" s="205"/>
      <c r="B906" s="384" t="s">
        <v>31</v>
      </c>
      <c r="C906" s="375" t="e">
        <f>C904+C905</f>
        <v>#REF!</v>
      </c>
      <c r="D906" s="376" t="s">
        <v>0</v>
      </c>
      <c r="E906" s="377" t="e">
        <f>E899</f>
        <v>#REF!</v>
      </c>
      <c r="F906" s="375" t="e">
        <f t="shared" si="351"/>
        <v>#REF!</v>
      </c>
      <c r="G906" s="378"/>
      <c r="H906" s="205"/>
      <c r="I906" s="384" t="s">
        <v>31</v>
      </c>
      <c r="J906" s="375" t="e">
        <f>J904+J905</f>
        <v>#REF!</v>
      </c>
      <c r="K906" s="376" t="s">
        <v>0</v>
      </c>
      <c r="L906" s="377" t="e">
        <f>L901</f>
        <v>#REF!</v>
      </c>
      <c r="M906" s="375" t="e">
        <f t="shared" si="352"/>
        <v>#REF!</v>
      </c>
      <c r="N906" s="378"/>
    </row>
    <row r="907" spans="1:14">
      <c r="A907" s="205"/>
      <c r="B907" s="385" t="s">
        <v>783</v>
      </c>
      <c r="C907" s="375"/>
      <c r="D907" s="376"/>
      <c r="E907" s="377"/>
      <c r="F907" s="375"/>
      <c r="G907" s="378"/>
      <c r="H907" s="205"/>
      <c r="I907" s="385" t="s">
        <v>783</v>
      </c>
      <c r="J907" s="375"/>
      <c r="K907" s="376"/>
      <c r="L907" s="377"/>
      <c r="M907" s="375"/>
      <c r="N907" s="378"/>
    </row>
    <row r="908" spans="1:14">
      <c r="A908" s="205"/>
      <c r="B908" s="379" t="s">
        <v>792</v>
      </c>
      <c r="C908" s="375">
        <v>0</v>
      </c>
      <c r="D908" s="376" t="s">
        <v>25</v>
      </c>
      <c r="E908" s="380" t="e">
        <f>E897</f>
        <v>#REF!</v>
      </c>
      <c r="F908" s="375" t="e">
        <f>C908*E908</f>
        <v>#REF!</v>
      </c>
      <c r="G908" s="378"/>
      <c r="H908" s="205"/>
      <c r="I908" s="379" t="s">
        <v>792</v>
      </c>
      <c r="J908" s="375">
        <v>0</v>
      </c>
      <c r="K908" s="376" t="s">
        <v>25</v>
      </c>
      <c r="L908" s="380" t="e">
        <f>L897</f>
        <v>#REF!</v>
      </c>
      <c r="M908" s="375" t="e">
        <f>J908*L908</f>
        <v>#REF!</v>
      </c>
      <c r="N908" s="378"/>
    </row>
    <row r="909" spans="1:14">
      <c r="A909" s="198"/>
      <c r="B909" s="384" t="s">
        <v>784</v>
      </c>
      <c r="C909" s="375">
        <v>0</v>
      </c>
      <c r="D909" s="376" t="s">
        <v>0</v>
      </c>
      <c r="E909" s="377">
        <v>3200</v>
      </c>
      <c r="F909" s="375">
        <f t="shared" ref="F909:F915" si="353">C909*E909</f>
        <v>0</v>
      </c>
      <c r="G909" s="378"/>
      <c r="H909" s="198"/>
      <c r="I909" s="384" t="s">
        <v>784</v>
      </c>
      <c r="J909" s="375">
        <v>0</v>
      </c>
      <c r="K909" s="376" t="s">
        <v>0</v>
      </c>
      <c r="L909" s="377">
        <v>3200</v>
      </c>
      <c r="M909" s="375">
        <f t="shared" ref="M909:M915" si="354">J909*L909</f>
        <v>0</v>
      </c>
      <c r="N909" s="378"/>
    </row>
    <row r="910" spans="1:14">
      <c r="A910" s="367"/>
      <c r="B910" s="384" t="s">
        <v>785</v>
      </c>
      <c r="C910" s="375">
        <v>0</v>
      </c>
      <c r="D910" s="376" t="s">
        <v>0</v>
      </c>
      <c r="E910" s="377">
        <v>3200</v>
      </c>
      <c r="F910" s="375">
        <f t="shared" si="353"/>
        <v>0</v>
      </c>
      <c r="G910" s="378"/>
      <c r="I910" s="384" t="s">
        <v>785</v>
      </c>
      <c r="J910" s="375">
        <v>0</v>
      </c>
      <c r="K910" s="376" t="s">
        <v>0</v>
      </c>
      <c r="L910" s="377">
        <v>3200</v>
      </c>
      <c r="M910" s="375">
        <f t="shared" si="354"/>
        <v>0</v>
      </c>
      <c r="N910" s="378"/>
    </row>
    <row r="911" spans="1:14">
      <c r="A911" s="367"/>
      <c r="B911" s="384" t="s">
        <v>786</v>
      </c>
      <c r="C911" s="375">
        <f>29.3*1.25</f>
        <v>36.625</v>
      </c>
      <c r="D911" s="376" t="s">
        <v>36</v>
      </c>
      <c r="E911" s="377">
        <v>199.5</v>
      </c>
      <c r="F911" s="375">
        <f t="shared" si="353"/>
        <v>7306.6875</v>
      </c>
      <c r="G911" s="378"/>
      <c r="I911" s="384" t="s">
        <v>786</v>
      </c>
      <c r="J911" s="375">
        <f>23.3*1.25</f>
        <v>29.125</v>
      </c>
      <c r="K911" s="376" t="s">
        <v>36</v>
      </c>
      <c r="L911" s="377">
        <v>199.5</v>
      </c>
      <c r="M911" s="375">
        <f t="shared" si="354"/>
        <v>5810.4375</v>
      </c>
      <c r="N911" s="378"/>
    </row>
    <row r="912" spans="1:14">
      <c r="A912" s="367"/>
      <c r="B912" s="384" t="s">
        <v>38</v>
      </c>
      <c r="C912" s="375">
        <f>C913*2</f>
        <v>0</v>
      </c>
      <c r="D912" s="376" t="s">
        <v>15</v>
      </c>
      <c r="E912" s="377">
        <v>60</v>
      </c>
      <c r="F912" s="375">
        <f t="shared" si="353"/>
        <v>0</v>
      </c>
      <c r="G912" s="378"/>
      <c r="I912" s="384" t="s">
        <v>38</v>
      </c>
      <c r="J912" s="375">
        <f>J913*2</f>
        <v>0</v>
      </c>
      <c r="K912" s="376" t="s">
        <v>15</v>
      </c>
      <c r="L912" s="377">
        <v>60</v>
      </c>
      <c r="M912" s="375">
        <f t="shared" si="354"/>
        <v>0</v>
      </c>
      <c r="N912" s="378"/>
    </row>
    <row r="913" spans="1:14">
      <c r="A913" s="367"/>
      <c r="B913" s="384" t="s">
        <v>31</v>
      </c>
      <c r="C913" s="375">
        <f>SUM(C909:C910)</f>
        <v>0</v>
      </c>
      <c r="D913" s="376" t="s">
        <v>0</v>
      </c>
      <c r="E913" s="377" t="e">
        <f>E900</f>
        <v>#REF!</v>
      </c>
      <c r="F913" s="375" t="e">
        <f t="shared" si="353"/>
        <v>#REF!</v>
      </c>
      <c r="G913" s="378"/>
      <c r="I913" s="384" t="s">
        <v>31</v>
      </c>
      <c r="J913" s="375">
        <f>SUM(J909:J910)</f>
        <v>0</v>
      </c>
      <c r="K913" s="376" t="s">
        <v>0</v>
      </c>
      <c r="L913" s="377" t="e">
        <f>L906</f>
        <v>#REF!</v>
      </c>
      <c r="M913" s="375" t="e">
        <f t="shared" si="354"/>
        <v>#REF!</v>
      </c>
      <c r="N913" s="378"/>
    </row>
    <row r="914" spans="1:14">
      <c r="A914" s="367"/>
      <c r="B914" s="384" t="s">
        <v>112</v>
      </c>
      <c r="C914" s="375">
        <f>E918</f>
        <v>24.51</v>
      </c>
      <c r="D914" s="376" t="s">
        <v>11</v>
      </c>
      <c r="E914" s="377">
        <v>254</v>
      </c>
      <c r="F914" s="375">
        <f t="shared" si="353"/>
        <v>6225.54</v>
      </c>
      <c r="G914" s="378"/>
      <c r="I914" s="384" t="s">
        <v>112</v>
      </c>
      <c r="J914" s="375">
        <f>L918</f>
        <v>18.98</v>
      </c>
      <c r="K914" s="376" t="s">
        <v>11</v>
      </c>
      <c r="L914" s="377">
        <v>254</v>
      </c>
      <c r="M914" s="375">
        <f t="shared" si="354"/>
        <v>4820.92</v>
      </c>
      <c r="N914" s="378"/>
    </row>
    <row r="915" spans="1:14">
      <c r="A915" s="367"/>
      <c r="B915" s="384" t="s">
        <v>787</v>
      </c>
      <c r="C915" s="375">
        <v>31.52</v>
      </c>
      <c r="D915" s="376" t="s">
        <v>25</v>
      </c>
      <c r="E915" s="377"/>
      <c r="F915" s="375">
        <f t="shared" si="353"/>
        <v>0</v>
      </c>
      <c r="G915" s="378" t="e">
        <f>SUM(F897:F915)</f>
        <v>#REF!</v>
      </c>
      <c r="I915" s="384" t="s">
        <v>787</v>
      </c>
      <c r="J915" s="375">
        <v>31.52</v>
      </c>
      <c r="K915" s="376" t="s">
        <v>25</v>
      </c>
      <c r="L915" s="377"/>
      <c r="M915" s="375">
        <f t="shared" si="354"/>
        <v>0</v>
      </c>
      <c r="N915" s="378" t="e">
        <f>SUM(M897:M915)</f>
        <v>#REF!</v>
      </c>
    </row>
    <row r="916" spans="1:14">
      <c r="A916" s="367"/>
      <c r="B916" s="330"/>
      <c r="C916" s="352"/>
      <c r="D916" s="326"/>
      <c r="E916" s="330"/>
      <c r="F916" s="330" t="s">
        <v>788</v>
      </c>
      <c r="G916" s="378" t="e">
        <f>G915/E919</f>
        <v>#REF!</v>
      </c>
      <c r="I916" s="330"/>
      <c r="J916" s="352"/>
      <c r="K916" s="326"/>
      <c r="L916" s="330"/>
      <c r="M916" s="330" t="s">
        <v>788</v>
      </c>
      <c r="N916" s="378" t="e">
        <f>N915/L919</f>
        <v>#REF!</v>
      </c>
    </row>
    <row r="917" spans="1:14" ht="15">
      <c r="A917" s="367"/>
      <c r="B917" s="330"/>
      <c r="C917" s="352"/>
      <c r="D917" s="326"/>
      <c r="E917" s="330"/>
      <c r="F917" s="330" t="s">
        <v>789</v>
      </c>
      <c r="G917" s="386" t="e">
        <f>G915/E918</f>
        <v>#REF!</v>
      </c>
      <c r="I917" s="330"/>
      <c r="J917" s="352"/>
      <c r="K917" s="326"/>
      <c r="L917" s="330"/>
      <c r="M917" s="330" t="s">
        <v>789</v>
      </c>
      <c r="N917" s="386" t="e">
        <f>N915/L918</f>
        <v>#REF!</v>
      </c>
    </row>
    <row r="918" spans="1:14" ht="15">
      <c r="A918" s="367"/>
      <c r="B918" s="387"/>
      <c r="C918" s="352"/>
      <c r="D918" s="434" t="s">
        <v>790</v>
      </c>
      <c r="E918" s="341">
        <v>24.51</v>
      </c>
      <c r="F918" s="388" t="s">
        <v>39</v>
      </c>
      <c r="G918" s="389"/>
      <c r="I918" s="387"/>
      <c r="J918" s="352"/>
      <c r="K918" s="434" t="s">
        <v>790</v>
      </c>
      <c r="L918" s="341">
        <v>18.98</v>
      </c>
      <c r="M918" s="388" t="s">
        <v>39</v>
      </c>
      <c r="N918" s="389"/>
    </row>
    <row r="919" spans="1:14" ht="15">
      <c r="A919" s="367"/>
      <c r="B919" s="387"/>
      <c r="C919" s="390"/>
      <c r="D919" s="434" t="s">
        <v>791</v>
      </c>
      <c r="E919" s="386" t="e">
        <f>C897+C903</f>
        <v>#REF!</v>
      </c>
      <c r="F919" s="388" t="s">
        <v>108</v>
      </c>
      <c r="G919" s="389"/>
      <c r="I919" s="387"/>
      <c r="J919" s="390"/>
      <c r="K919" s="434" t="s">
        <v>791</v>
      </c>
      <c r="L919" s="386" t="e">
        <f>J897+J903</f>
        <v>#REF!</v>
      </c>
      <c r="M919" s="388" t="s">
        <v>108</v>
      </c>
      <c r="N919" s="389"/>
    </row>
    <row r="920" spans="1:14">
      <c r="A920" s="367"/>
      <c r="B920" s="367"/>
      <c r="C920" s="368"/>
      <c r="D920" s="431"/>
      <c r="E920" s="368"/>
      <c r="F920" s="369"/>
    </row>
    <row r="921" spans="1:14">
      <c r="A921" s="367"/>
      <c r="B921" s="367"/>
      <c r="C921" s="198" t="s">
        <v>4</v>
      </c>
      <c r="D921" s="426"/>
      <c r="E921" s="199"/>
      <c r="F921" s="199"/>
      <c r="G921" s="197" t="e">
        <f>SUM(F896:F908)/C895</f>
        <v>#REF!</v>
      </c>
    </row>
    <row r="922" spans="1:14">
      <c r="A922" s="367"/>
      <c r="B922" s="367"/>
      <c r="C922" s="368"/>
      <c r="D922" s="431"/>
      <c r="E922" s="368"/>
      <c r="F922" s="369"/>
    </row>
    <row r="923" spans="1:14">
      <c r="A923" s="367"/>
      <c r="B923" s="367"/>
      <c r="C923" s="368"/>
      <c r="D923" s="431"/>
      <c r="E923" s="368"/>
      <c r="F923" s="369"/>
    </row>
    <row r="924" spans="1:14">
      <c r="H924" s="199"/>
      <c r="I924" s="364" t="s">
        <v>764</v>
      </c>
      <c r="J924" s="199"/>
      <c r="K924" s="426"/>
      <c r="L924" s="199"/>
      <c r="M924" s="199"/>
    </row>
    <row r="925" spans="1:14">
      <c r="A925" s="199"/>
      <c r="B925" s="364" t="s">
        <v>863</v>
      </c>
      <c r="C925" s="199"/>
      <c r="D925" s="426"/>
      <c r="E925" s="199"/>
      <c r="F925" s="199"/>
      <c r="H925" s="213"/>
      <c r="I925" s="214"/>
      <c r="J925" s="214"/>
      <c r="K925" s="429"/>
      <c r="L925" s="214"/>
      <c r="M925" s="215"/>
    </row>
    <row r="926" spans="1:14">
      <c r="A926" s="213"/>
      <c r="B926" s="214"/>
      <c r="C926" s="214"/>
      <c r="D926" s="429"/>
      <c r="E926" s="214"/>
      <c r="F926" s="215"/>
      <c r="H926" s="203"/>
      <c r="I926" s="201" t="s">
        <v>593</v>
      </c>
      <c r="J926" s="219">
        <v>1.05</v>
      </c>
      <c r="K926" s="427" t="s">
        <v>25</v>
      </c>
      <c r="L926" s="208" t="e">
        <f>L840</f>
        <v>#REF!</v>
      </c>
      <c r="M926" s="220" t="e">
        <f t="shared" ref="M926:M929" si="355">+J926*L926</f>
        <v>#REF!</v>
      </c>
    </row>
    <row r="927" spans="1:14">
      <c r="A927" s="203"/>
      <c r="B927" s="201" t="s">
        <v>593</v>
      </c>
      <c r="C927" s="219">
        <v>1.05</v>
      </c>
      <c r="D927" s="427" t="s">
        <v>25</v>
      </c>
      <c r="E927" s="208" t="e">
        <f>L926</f>
        <v>#REF!</v>
      </c>
      <c r="F927" s="220" t="e">
        <f t="shared" ref="F927:F930" si="356">+C927*E927</f>
        <v>#REF!</v>
      </c>
      <c r="H927" s="203"/>
      <c r="I927" s="219" t="s">
        <v>1138</v>
      </c>
      <c r="J927" s="219" t="e">
        <f>#REF!</f>
        <v>#REF!</v>
      </c>
      <c r="K927" s="427" t="s">
        <v>13</v>
      </c>
      <c r="L927" s="208" t="e">
        <f>L841</f>
        <v>#REF!</v>
      </c>
      <c r="M927" s="220" t="e">
        <f t="shared" si="355"/>
        <v>#REF!</v>
      </c>
    </row>
    <row r="928" spans="1:14">
      <c r="A928" s="203"/>
      <c r="B928" s="219" t="s">
        <v>1138</v>
      </c>
      <c r="C928" s="219" t="e">
        <f>#REF!</f>
        <v>#REF!</v>
      </c>
      <c r="D928" s="427" t="s">
        <v>13</v>
      </c>
      <c r="E928" s="208" t="e">
        <f t="shared" ref="E928:E929" si="357">L927</f>
        <v>#REF!</v>
      </c>
      <c r="F928" s="220" t="e">
        <f t="shared" si="356"/>
        <v>#REF!</v>
      </c>
      <c r="H928" s="203"/>
      <c r="I928" s="201" t="s">
        <v>14</v>
      </c>
      <c r="J928" s="219" t="e">
        <f>SUM(J927:J927)*2</f>
        <v>#REF!</v>
      </c>
      <c r="K928" s="427" t="s">
        <v>15</v>
      </c>
      <c r="L928" s="208" t="e">
        <f>L842</f>
        <v>#REF!</v>
      </c>
      <c r="M928" s="220" t="e">
        <f t="shared" si="355"/>
        <v>#REF!</v>
      </c>
    </row>
    <row r="929" spans="1:13">
      <c r="A929" s="203"/>
      <c r="B929" s="201" t="s">
        <v>14</v>
      </c>
      <c r="C929" s="219" t="e">
        <f>SUM(C928:C928)*2</f>
        <v>#REF!</v>
      </c>
      <c r="D929" s="427" t="s">
        <v>15</v>
      </c>
      <c r="E929" s="208" t="e">
        <f t="shared" si="357"/>
        <v>#REF!</v>
      </c>
      <c r="F929" s="220" t="e">
        <f t="shared" si="356"/>
        <v>#REF!</v>
      </c>
      <c r="H929" s="203"/>
      <c r="I929" s="201" t="s">
        <v>594</v>
      </c>
      <c r="J929" s="219" t="e">
        <f>SUM(J927:J927)</f>
        <v>#REF!</v>
      </c>
      <c r="K929" s="427" t="s">
        <v>13</v>
      </c>
      <c r="L929" s="208" t="e">
        <f>#REF!</f>
        <v>#REF!</v>
      </c>
      <c r="M929" s="220" t="e">
        <f t="shared" si="355"/>
        <v>#REF!</v>
      </c>
    </row>
    <row r="930" spans="1:13">
      <c r="A930" s="203"/>
      <c r="B930" s="201" t="s">
        <v>594</v>
      </c>
      <c r="C930" s="219" t="e">
        <f>SUM(C928:C928)</f>
        <v>#REF!</v>
      </c>
      <c r="D930" s="427" t="s">
        <v>13</v>
      </c>
      <c r="E930" s="208" t="e">
        <f>#REF!</f>
        <v>#REF!</v>
      </c>
      <c r="F930" s="220" t="e">
        <f t="shared" si="356"/>
        <v>#REF!</v>
      </c>
      <c r="H930" s="203"/>
      <c r="I930" s="330" t="s">
        <v>864</v>
      </c>
      <c r="J930" s="325">
        <f>1/0.15</f>
        <v>6.666666666666667</v>
      </c>
      <c r="K930" s="326" t="s">
        <v>11</v>
      </c>
      <c r="L930" s="327" t="e">
        <f>L845</f>
        <v>#REF!</v>
      </c>
      <c r="M930" s="328" t="e">
        <f t="shared" ref="M930:M932" si="358">J930*L930</f>
        <v>#REF!</v>
      </c>
    </row>
    <row r="931" spans="1:13">
      <c r="A931" s="203"/>
      <c r="B931" s="330" t="s">
        <v>864</v>
      </c>
      <c r="C931" s="325">
        <f>1/0.15</f>
        <v>6.666666666666667</v>
      </c>
      <c r="D931" s="326" t="s">
        <v>11</v>
      </c>
      <c r="E931" s="327" t="e">
        <f>L930</f>
        <v>#REF!</v>
      </c>
      <c r="F931" s="328" t="e">
        <f t="shared" ref="F931:F933" si="359">C931*E931</f>
        <v>#REF!</v>
      </c>
      <c r="H931" s="203"/>
      <c r="I931" s="330" t="s">
        <v>47</v>
      </c>
      <c r="J931" s="331">
        <v>1</v>
      </c>
      <c r="K931" s="326" t="s">
        <v>25</v>
      </c>
      <c r="L931" s="327" t="e">
        <f>L846</f>
        <v>#REF!</v>
      </c>
      <c r="M931" s="328" t="e">
        <f t="shared" si="358"/>
        <v>#REF!</v>
      </c>
    </row>
    <row r="932" spans="1:13">
      <c r="A932" s="203"/>
      <c r="B932" s="330" t="s">
        <v>47</v>
      </c>
      <c r="C932" s="331">
        <v>1</v>
      </c>
      <c r="D932" s="326" t="s">
        <v>25</v>
      </c>
      <c r="E932" s="327" t="e">
        <f t="shared" ref="E932:E933" si="360">L931</f>
        <v>#REF!</v>
      </c>
      <c r="F932" s="328" t="e">
        <f t="shared" si="359"/>
        <v>#REF!</v>
      </c>
      <c r="H932" s="203"/>
      <c r="I932" s="330" t="s">
        <v>7</v>
      </c>
      <c r="J932" s="325" t="e">
        <f>SUM(M926:M928)</f>
        <v>#REF!</v>
      </c>
      <c r="K932" s="326" t="s">
        <v>8</v>
      </c>
      <c r="L932" s="327" t="e">
        <f>L847</f>
        <v>#REF!</v>
      </c>
      <c r="M932" s="328" t="e">
        <f t="shared" si="358"/>
        <v>#REF!</v>
      </c>
    </row>
    <row r="933" spans="1:13">
      <c r="A933" s="203"/>
      <c r="B933" s="330" t="s">
        <v>7</v>
      </c>
      <c r="C933" s="325" t="e">
        <f>SUM(F927:F929)</f>
        <v>#REF!</v>
      </c>
      <c r="D933" s="326" t="s">
        <v>8</v>
      </c>
      <c r="E933" s="327" t="e">
        <f t="shared" si="360"/>
        <v>#REF!</v>
      </c>
      <c r="F933" s="328" t="e">
        <f t="shared" si="359"/>
        <v>#REF!</v>
      </c>
      <c r="H933" s="203"/>
      <c r="I933" s="201"/>
      <c r="J933" s="201"/>
      <c r="K933" s="427"/>
      <c r="L933" s="201"/>
      <c r="M933" s="204"/>
    </row>
    <row r="934" spans="1:13">
      <c r="A934" s="203"/>
      <c r="B934" s="201"/>
      <c r="C934" s="201"/>
      <c r="D934" s="427"/>
      <c r="E934" s="201"/>
      <c r="F934" s="204"/>
      <c r="H934" s="223"/>
      <c r="I934" s="224"/>
      <c r="J934" s="224"/>
      <c r="K934" s="435"/>
      <c r="L934" s="224"/>
      <c r="M934" s="225"/>
    </row>
    <row r="935" spans="1:13">
      <c r="A935" s="223"/>
      <c r="B935" s="224"/>
      <c r="C935" s="224"/>
      <c r="D935" s="435"/>
      <c r="E935" s="224"/>
      <c r="F935" s="225"/>
      <c r="H935" s="198"/>
      <c r="I935" s="198" t="s">
        <v>548</v>
      </c>
      <c r="J935" s="199"/>
      <c r="K935" s="426"/>
      <c r="L935" s="199"/>
      <c r="M935" s="197" t="e">
        <f>SUM(M926:M934)</f>
        <v>#REF!</v>
      </c>
    </row>
    <row r="936" spans="1:13">
      <c r="A936" s="198"/>
      <c r="B936" s="198" t="s">
        <v>548</v>
      </c>
      <c r="C936" s="199"/>
      <c r="D936" s="426"/>
      <c r="E936" s="199"/>
      <c r="F936" s="197" t="e">
        <f>SUM(F927:F935)</f>
        <v>#REF!</v>
      </c>
    </row>
    <row r="939" spans="1:13">
      <c r="H939" s="212"/>
      <c r="I939" s="212"/>
      <c r="J939" s="212"/>
      <c r="K939" s="432"/>
      <c r="L939" s="212"/>
      <c r="M939" s="212"/>
    </row>
    <row r="940" spans="1:13">
      <c r="B940" s="364" t="s">
        <v>947</v>
      </c>
      <c r="C940" s="199"/>
      <c r="D940" s="426"/>
      <c r="E940" s="199"/>
      <c r="F940" s="199"/>
      <c r="H940" s="199"/>
      <c r="I940" s="364" t="s">
        <v>862</v>
      </c>
      <c r="J940" s="199"/>
      <c r="K940" s="426"/>
      <c r="L940" s="199"/>
      <c r="M940" s="199"/>
    </row>
    <row r="941" spans="1:13">
      <c r="B941" s="214"/>
      <c r="C941" s="214"/>
      <c r="D941" s="429"/>
      <c r="E941" s="214"/>
      <c r="F941" s="215"/>
      <c r="H941" s="213"/>
      <c r="I941" s="214"/>
      <c r="J941" s="214"/>
      <c r="K941" s="429"/>
      <c r="L941" s="214"/>
      <c r="M941" s="215"/>
    </row>
    <row r="942" spans="1:13">
      <c r="B942" s="201" t="s">
        <v>593</v>
      </c>
      <c r="C942" s="219">
        <v>1.05</v>
      </c>
      <c r="D942" s="427" t="s">
        <v>25</v>
      </c>
      <c r="E942" s="208" t="e">
        <f>L942</f>
        <v>#REF!</v>
      </c>
      <c r="F942" s="220" t="e">
        <f t="shared" ref="F942:F946" si="361">+C942*E942</f>
        <v>#REF!</v>
      </c>
      <c r="H942" s="203"/>
      <c r="I942" s="201" t="s">
        <v>593</v>
      </c>
      <c r="J942" s="219">
        <v>1.05</v>
      </c>
      <c r="K942" s="427" t="s">
        <v>25</v>
      </c>
      <c r="L942" s="208" t="e">
        <f>L926</f>
        <v>#REF!</v>
      </c>
      <c r="M942" s="220" t="e">
        <f t="shared" ref="M942:M945" si="362">+J942*L942</f>
        <v>#REF!</v>
      </c>
    </row>
    <row r="943" spans="1:13">
      <c r="B943" s="219" t="s">
        <v>1138</v>
      </c>
      <c r="C943" s="219" t="e">
        <f>#REF!</f>
        <v>#REF!</v>
      </c>
      <c r="D943" s="427" t="s">
        <v>13</v>
      </c>
      <c r="E943" s="208" t="e">
        <f t="shared" ref="E943:E944" si="363">L943</f>
        <v>#REF!</v>
      </c>
      <c r="F943" s="220" t="e">
        <f t="shared" si="361"/>
        <v>#REF!</v>
      </c>
      <c r="H943" s="203"/>
      <c r="I943" s="219" t="s">
        <v>1138</v>
      </c>
      <c r="J943" s="219" t="e">
        <f>#REF!</f>
        <v>#REF!</v>
      </c>
      <c r="K943" s="427" t="s">
        <v>13</v>
      </c>
      <c r="L943" s="208" t="e">
        <f t="shared" ref="L943:L944" si="364">L927</f>
        <v>#REF!</v>
      </c>
      <c r="M943" s="220" t="e">
        <f t="shared" si="362"/>
        <v>#REF!</v>
      </c>
    </row>
    <row r="944" spans="1:13">
      <c r="B944" s="201" t="s">
        <v>14</v>
      </c>
      <c r="C944" s="219" t="e">
        <f>SUM(C943:C943)*2</f>
        <v>#REF!</v>
      </c>
      <c r="D944" s="427" t="s">
        <v>15</v>
      </c>
      <c r="E944" s="208" t="e">
        <f t="shared" si="363"/>
        <v>#REF!</v>
      </c>
      <c r="F944" s="220" t="e">
        <f t="shared" si="361"/>
        <v>#REF!</v>
      </c>
      <c r="H944" s="203"/>
      <c r="I944" s="201" t="s">
        <v>14</v>
      </c>
      <c r="J944" s="219" t="e">
        <f>SUM(J943:J943)*2</f>
        <v>#REF!</v>
      </c>
      <c r="K944" s="427" t="s">
        <v>15</v>
      </c>
      <c r="L944" s="208" t="e">
        <f t="shared" si="364"/>
        <v>#REF!</v>
      </c>
      <c r="M944" s="220" t="e">
        <f t="shared" si="362"/>
        <v>#REF!</v>
      </c>
    </row>
    <row r="945" spans="2:13">
      <c r="B945" s="201" t="s">
        <v>594</v>
      </c>
      <c r="C945" s="219" t="e">
        <f>SUM(C943:C943)</f>
        <v>#REF!</v>
      </c>
      <c r="D945" s="427" t="s">
        <v>13</v>
      </c>
      <c r="E945" s="208" t="e">
        <f>#REF!</f>
        <v>#REF!</v>
      </c>
      <c r="F945" s="220" t="e">
        <f t="shared" si="361"/>
        <v>#REF!</v>
      </c>
      <c r="H945" s="203"/>
      <c r="I945" s="201" t="s">
        <v>594</v>
      </c>
      <c r="J945" s="219" t="e">
        <f>SUM(J943:J943)</f>
        <v>#REF!</v>
      </c>
      <c r="K945" s="427" t="s">
        <v>13</v>
      </c>
      <c r="L945" s="208" t="e">
        <f>#REF!</f>
        <v>#REF!</v>
      </c>
      <c r="M945" s="220" t="e">
        <f t="shared" si="362"/>
        <v>#REF!</v>
      </c>
    </row>
    <row r="946" spans="2:13">
      <c r="B946" s="201" t="s">
        <v>602</v>
      </c>
      <c r="C946" s="365">
        <f>1/0.15</f>
        <v>6.666666666666667</v>
      </c>
      <c r="D946" s="427" t="s">
        <v>36</v>
      </c>
      <c r="E946" s="208">
        <f>E858</f>
        <v>800</v>
      </c>
      <c r="F946" s="209">
        <f t="shared" si="361"/>
        <v>5333.3333333333339</v>
      </c>
      <c r="H946" s="203"/>
      <c r="I946" s="330" t="s">
        <v>864</v>
      </c>
      <c r="J946" s="325">
        <f>1/0.15</f>
        <v>6.666666666666667</v>
      </c>
      <c r="K946" s="326" t="s">
        <v>11</v>
      </c>
      <c r="L946" s="327" t="e">
        <f>L930</f>
        <v>#REF!</v>
      </c>
      <c r="M946" s="328" t="e">
        <f t="shared" ref="M946:M948" si="365">J946*L946</f>
        <v>#REF!</v>
      </c>
    </row>
    <row r="947" spans="2:13">
      <c r="B947" s="330" t="s">
        <v>864</v>
      </c>
      <c r="C947" s="325">
        <f>1/0.15</f>
        <v>6.666666666666667</v>
      </c>
      <c r="D947" s="326" t="s">
        <v>11</v>
      </c>
      <c r="E947" s="327" t="e">
        <f>L946</f>
        <v>#REF!</v>
      </c>
      <c r="F947" s="328" t="e">
        <f t="shared" ref="F947:F949" si="366">C947*E947</f>
        <v>#REF!</v>
      </c>
      <c r="H947" s="203"/>
      <c r="I947" s="330" t="s">
        <v>47</v>
      </c>
      <c r="J947" s="331">
        <v>1</v>
      </c>
      <c r="K947" s="326" t="s">
        <v>25</v>
      </c>
      <c r="L947" s="327" t="e">
        <f t="shared" ref="L947:L948" si="367">L931</f>
        <v>#REF!</v>
      </c>
      <c r="M947" s="328" t="e">
        <f t="shared" si="365"/>
        <v>#REF!</v>
      </c>
    </row>
    <row r="948" spans="2:13">
      <c r="B948" s="330" t="s">
        <v>47</v>
      </c>
      <c r="C948" s="331">
        <v>1</v>
      </c>
      <c r="D948" s="326" t="s">
        <v>25</v>
      </c>
      <c r="E948" s="327" t="e">
        <f>L947</f>
        <v>#REF!</v>
      </c>
      <c r="F948" s="328" t="e">
        <f t="shared" si="366"/>
        <v>#REF!</v>
      </c>
      <c r="H948" s="203"/>
      <c r="I948" s="330" t="s">
        <v>7</v>
      </c>
      <c r="J948" s="325" t="e">
        <f>SUM(M942:M944)</f>
        <v>#REF!</v>
      </c>
      <c r="K948" s="326" t="s">
        <v>8</v>
      </c>
      <c r="L948" s="327" t="e">
        <f t="shared" si="367"/>
        <v>#REF!</v>
      </c>
      <c r="M948" s="328" t="e">
        <f t="shared" si="365"/>
        <v>#REF!</v>
      </c>
    </row>
    <row r="949" spans="2:13">
      <c r="B949" s="330" t="s">
        <v>7</v>
      </c>
      <c r="C949" s="325" t="e">
        <f>SUM(F942:F944)</f>
        <v>#REF!</v>
      </c>
      <c r="D949" s="326" t="s">
        <v>8</v>
      </c>
      <c r="E949" s="327" t="e">
        <f>L948</f>
        <v>#REF!</v>
      </c>
      <c r="F949" s="328" t="e">
        <f t="shared" si="366"/>
        <v>#REF!</v>
      </c>
      <c r="H949" s="203"/>
      <c r="I949" s="201"/>
      <c r="J949" s="201"/>
      <c r="K949" s="427"/>
      <c r="L949" s="201"/>
      <c r="M949" s="204"/>
    </row>
    <row r="950" spans="2:13">
      <c r="B950" s="224"/>
      <c r="C950" s="224"/>
      <c r="D950" s="435"/>
      <c r="E950" s="224"/>
      <c r="F950" s="225"/>
      <c r="H950" s="223"/>
      <c r="I950" s="224"/>
      <c r="J950" s="224"/>
      <c r="K950" s="435"/>
      <c r="L950" s="224"/>
      <c r="M950" s="225"/>
    </row>
    <row r="951" spans="2:13">
      <c r="B951" s="198" t="s">
        <v>548</v>
      </c>
      <c r="C951" s="199"/>
      <c r="D951" s="426"/>
      <c r="E951" s="199"/>
      <c r="F951" s="197" t="e">
        <f>SUM(F942:F950)</f>
        <v>#REF!</v>
      </c>
      <c r="H951" s="198"/>
      <c r="I951" s="198" t="s">
        <v>548</v>
      </c>
      <c r="J951" s="199"/>
      <c r="K951" s="426"/>
      <c r="L951" s="199"/>
      <c r="M951" s="197" t="e">
        <f>SUM(M942:M950)</f>
        <v>#REF!</v>
      </c>
    </row>
    <row r="977" spans="1:13">
      <c r="A977" s="199"/>
      <c r="B977" s="198" t="s">
        <v>609</v>
      </c>
      <c r="C977" s="199"/>
      <c r="D977" s="426" t="s">
        <v>592</v>
      </c>
      <c r="E977" s="199"/>
      <c r="F977" s="199"/>
      <c r="H977" s="199"/>
      <c r="I977" s="198" t="s">
        <v>606</v>
      </c>
      <c r="J977" s="199"/>
      <c r="K977" s="426" t="s">
        <v>592</v>
      </c>
      <c r="L977" s="199"/>
      <c r="M977" s="199"/>
    </row>
    <row r="978" spans="1:13">
      <c r="A978" s="213"/>
      <c r="B978" s="214"/>
      <c r="C978" s="214"/>
      <c r="D978" s="429"/>
      <c r="E978" s="214"/>
      <c r="F978" s="215"/>
      <c r="H978" s="213"/>
      <c r="I978" s="214"/>
      <c r="J978" s="214"/>
      <c r="K978" s="429"/>
      <c r="L978" s="214"/>
      <c r="M978" s="215"/>
    </row>
    <row r="979" spans="1:13">
      <c r="A979" s="203"/>
      <c r="B979" s="219" t="s">
        <v>611</v>
      </c>
      <c r="C979" s="219">
        <f>0.05*1.05</f>
        <v>5.2500000000000005E-2</v>
      </c>
      <c r="D979" s="427" t="s">
        <v>25</v>
      </c>
      <c r="E979" s="208">
        <v>5430</v>
      </c>
      <c r="F979" s="220">
        <f t="shared" ref="F979:F981" si="368">+C979*E979</f>
        <v>285.07500000000005</v>
      </c>
      <c r="H979" s="203"/>
      <c r="I979" s="219" t="s">
        <v>607</v>
      </c>
      <c r="J979" s="219">
        <v>1.05</v>
      </c>
      <c r="K979" s="427" t="s">
        <v>25</v>
      </c>
      <c r="L979" s="208">
        <v>5430</v>
      </c>
      <c r="M979" s="220">
        <f t="shared" ref="M979:M981" si="369">+J979*L979</f>
        <v>5701.5</v>
      </c>
    </row>
    <row r="980" spans="1:13">
      <c r="A980" s="203"/>
      <c r="B980" s="219" t="s">
        <v>612</v>
      </c>
      <c r="C980" s="219">
        <v>0.1</v>
      </c>
      <c r="D980" s="427" t="s">
        <v>613</v>
      </c>
      <c r="E980" s="219">
        <v>2384.56</v>
      </c>
      <c r="F980" s="220">
        <f t="shared" si="368"/>
        <v>238.45600000000002</v>
      </c>
      <c r="H980" s="203"/>
      <c r="I980" s="219" t="s">
        <v>608</v>
      </c>
      <c r="J980" s="219">
        <v>0.35</v>
      </c>
      <c r="K980" s="427" t="s">
        <v>15</v>
      </c>
      <c r="L980" s="219">
        <v>3078</v>
      </c>
      <c r="M980" s="220">
        <f t="shared" si="369"/>
        <v>1077.3</v>
      </c>
    </row>
    <row r="981" spans="1:13">
      <c r="A981" s="203"/>
      <c r="B981" s="226" t="s">
        <v>614</v>
      </c>
      <c r="C981" s="219">
        <v>1</v>
      </c>
      <c r="D981" s="427" t="s">
        <v>39</v>
      </c>
      <c r="E981" s="219">
        <v>295</v>
      </c>
      <c r="F981" s="220">
        <f t="shared" si="368"/>
        <v>295</v>
      </c>
      <c r="H981" s="203"/>
      <c r="I981" s="201" t="s">
        <v>610</v>
      </c>
      <c r="J981" s="219">
        <f>1/0.1</f>
        <v>10</v>
      </c>
      <c r="K981" s="427" t="s">
        <v>39</v>
      </c>
      <c r="L981" s="219">
        <v>140</v>
      </c>
      <c r="M981" s="220">
        <f t="shared" si="369"/>
        <v>1400</v>
      </c>
    </row>
    <row r="982" spans="1:13">
      <c r="A982" s="223"/>
      <c r="B982" s="224"/>
      <c r="C982" s="224"/>
      <c r="D982" s="435"/>
      <c r="E982" s="224"/>
      <c r="F982" s="225"/>
      <c r="H982" s="223"/>
      <c r="I982" s="224"/>
      <c r="J982" s="224"/>
      <c r="K982" s="435"/>
      <c r="L982" s="224"/>
      <c r="M982" s="225"/>
    </row>
    <row r="983" spans="1:13">
      <c r="A983" s="198"/>
      <c r="B983" s="198" t="s">
        <v>4</v>
      </c>
      <c r="C983" s="199"/>
      <c r="D983" s="426"/>
      <c r="E983" s="199"/>
      <c r="F983" s="197">
        <f>SUM(F979:F982)</f>
        <v>818.53100000000006</v>
      </c>
      <c r="H983" s="198"/>
      <c r="I983" s="198" t="s">
        <v>548</v>
      </c>
      <c r="J983" s="199"/>
      <c r="K983" s="426"/>
      <c r="L983" s="199"/>
      <c r="M983" s="197">
        <f>SUM(M979:M982)</f>
        <v>8178.8</v>
      </c>
    </row>
    <row r="985" spans="1:13">
      <c r="A985" s="199"/>
      <c r="B985" s="198" t="s">
        <v>615</v>
      </c>
      <c r="C985" s="199"/>
      <c r="D985" s="426" t="s">
        <v>592</v>
      </c>
      <c r="E985" s="199"/>
      <c r="F985" s="199"/>
      <c r="H985" s="199"/>
      <c r="I985" s="198" t="s">
        <v>616</v>
      </c>
      <c r="J985" s="199"/>
      <c r="K985" s="426" t="s">
        <v>592</v>
      </c>
      <c r="L985" s="199"/>
      <c r="M985" s="199"/>
    </row>
    <row r="986" spans="1:13">
      <c r="A986" s="213"/>
      <c r="B986" s="214"/>
      <c r="C986" s="214"/>
      <c r="D986" s="429"/>
      <c r="E986" s="214"/>
      <c r="F986" s="215"/>
      <c r="H986" s="213"/>
      <c r="I986" s="214"/>
      <c r="J986" s="214"/>
      <c r="K986" s="429"/>
      <c r="L986" s="214"/>
      <c r="M986" s="215"/>
    </row>
    <row r="987" spans="1:13">
      <c r="A987" s="203"/>
      <c r="B987" s="201" t="s">
        <v>617</v>
      </c>
      <c r="C987" s="219">
        <f>1.2*0.027*2</f>
        <v>6.4799999999999996E-2</v>
      </c>
      <c r="D987" s="427" t="s">
        <v>26</v>
      </c>
      <c r="E987" s="227">
        <v>300</v>
      </c>
      <c r="F987" s="220">
        <f>ROUND(C987*E987,2)</f>
        <v>19.440000000000001</v>
      </c>
      <c r="H987" s="203"/>
      <c r="I987" s="201" t="s">
        <v>618</v>
      </c>
      <c r="J987" s="219">
        <f>1.2*0.0333*2</f>
        <v>7.9920000000000005E-2</v>
      </c>
      <c r="K987" s="427" t="s">
        <v>26</v>
      </c>
      <c r="L987" s="219">
        <v>1099.23</v>
      </c>
      <c r="M987" s="220">
        <f>ROUND(J987*L987,2)</f>
        <v>87.85</v>
      </c>
    </row>
    <row r="988" spans="1:13">
      <c r="A988" s="203"/>
      <c r="B988" s="201" t="s">
        <v>124</v>
      </c>
      <c r="C988" s="219">
        <v>1</v>
      </c>
      <c r="D988" s="427" t="s">
        <v>11</v>
      </c>
      <c r="E988" s="219">
        <v>25</v>
      </c>
      <c r="F988" s="220">
        <f>ROUND(C988*E988,2)</f>
        <v>25</v>
      </c>
      <c r="H988" s="203"/>
      <c r="I988" s="201" t="s">
        <v>124</v>
      </c>
      <c r="J988" s="219">
        <v>1</v>
      </c>
      <c r="K988" s="427" t="s">
        <v>11</v>
      </c>
      <c r="L988" s="219">
        <v>38</v>
      </c>
      <c r="M988" s="220">
        <f>ROUND(J988*L988,2)</f>
        <v>38</v>
      </c>
    </row>
    <row r="989" spans="1:13">
      <c r="A989" s="203"/>
      <c r="B989" s="201" t="s">
        <v>119</v>
      </c>
      <c r="C989" s="219"/>
      <c r="D989" s="427"/>
      <c r="E989" s="219">
        <v>0.2</v>
      </c>
      <c r="F989" s="220">
        <f>ROUND(SUM(F987:F988)*E989,2)</f>
        <v>8.89</v>
      </c>
      <c r="H989" s="203"/>
      <c r="I989" s="201" t="s">
        <v>119</v>
      </c>
      <c r="J989" s="219"/>
      <c r="K989" s="427"/>
      <c r="L989" s="219">
        <v>0.2</v>
      </c>
      <c r="M989" s="220">
        <f>ROUND(SUM(M987:M988)*L989,2)</f>
        <v>25.17</v>
      </c>
    </row>
    <row r="990" spans="1:13">
      <c r="A990" s="223"/>
      <c r="B990" s="224"/>
      <c r="C990" s="224"/>
      <c r="D990" s="435"/>
      <c r="E990" s="224"/>
      <c r="F990" s="225"/>
      <c r="H990" s="223"/>
      <c r="I990" s="224"/>
      <c r="J990" s="224"/>
      <c r="K990" s="435"/>
      <c r="L990" s="224"/>
      <c r="M990" s="225"/>
    </row>
    <row r="991" spans="1:13">
      <c r="A991" s="198"/>
      <c r="B991" s="198" t="s">
        <v>4</v>
      </c>
      <c r="C991" s="199"/>
      <c r="D991" s="426"/>
      <c r="E991" s="199"/>
      <c r="F991" s="197">
        <f>SUM(F987:F990)</f>
        <v>53.33</v>
      </c>
      <c r="H991" s="198"/>
      <c r="I991" s="198" t="s">
        <v>4</v>
      </c>
      <c r="J991" s="199"/>
      <c r="K991" s="426"/>
      <c r="L991" s="199"/>
      <c r="M991" s="197">
        <f>SUM(M987:M990)</f>
        <v>151.01999999999998</v>
      </c>
    </row>
    <row r="993" spans="1:13">
      <c r="A993" s="199"/>
      <c r="B993" s="198" t="s">
        <v>619</v>
      </c>
      <c r="C993" s="199"/>
      <c r="D993" s="426" t="s">
        <v>592</v>
      </c>
      <c r="E993" s="199"/>
      <c r="F993" s="199"/>
      <c r="H993" s="199"/>
      <c r="I993" s="364" t="s">
        <v>620</v>
      </c>
      <c r="J993" s="199"/>
      <c r="K993" s="426" t="s">
        <v>592</v>
      </c>
      <c r="L993" s="199"/>
      <c r="M993" s="199"/>
    </row>
    <row r="994" spans="1:13">
      <c r="A994" s="213"/>
      <c r="B994" s="214"/>
      <c r="C994" s="214"/>
      <c r="D994" s="429"/>
      <c r="E994" s="214"/>
      <c r="F994" s="215"/>
      <c r="H994" s="213"/>
      <c r="I994" s="214"/>
      <c r="J994" s="214"/>
      <c r="K994" s="429"/>
      <c r="L994" s="214"/>
      <c r="M994" s="215"/>
    </row>
    <row r="995" spans="1:13">
      <c r="A995" s="203"/>
      <c r="B995" s="201" t="s">
        <v>621</v>
      </c>
      <c r="C995" s="219">
        <f>1.2*0.0333*2</f>
        <v>7.9920000000000005E-2</v>
      </c>
      <c r="D995" s="427" t="s">
        <v>26</v>
      </c>
      <c r="E995" s="219">
        <v>1495.5</v>
      </c>
      <c r="F995" s="220">
        <f>ROUND(C995*E995,2)</f>
        <v>119.52</v>
      </c>
      <c r="H995" s="203"/>
      <c r="I995" s="201" t="s">
        <v>622</v>
      </c>
      <c r="J995" s="219">
        <f>1.2*0.04*2</f>
        <v>9.6000000000000002E-2</v>
      </c>
      <c r="K995" s="427" t="s">
        <v>26</v>
      </c>
      <c r="L995" s="365">
        <v>2495</v>
      </c>
      <c r="M995" s="220">
        <f>ROUND(J995*L995,2)</f>
        <v>239.52</v>
      </c>
    </row>
    <row r="996" spans="1:13">
      <c r="A996" s="203"/>
      <c r="B996" s="201" t="s">
        <v>124</v>
      </c>
      <c r="C996" s="219">
        <v>1</v>
      </c>
      <c r="D996" s="427" t="s">
        <v>11</v>
      </c>
      <c r="E996" s="219">
        <v>38</v>
      </c>
      <c r="F996" s="220">
        <f>ROUND(C996*E996,2)</f>
        <v>38</v>
      </c>
      <c r="H996" s="203"/>
      <c r="I996" s="201" t="s">
        <v>124</v>
      </c>
      <c r="J996" s="219">
        <v>1</v>
      </c>
      <c r="K996" s="427" t="s">
        <v>11</v>
      </c>
      <c r="L996" s="365">
        <v>45</v>
      </c>
      <c r="M996" s="220">
        <f>ROUND(J996*L996,2)</f>
        <v>45</v>
      </c>
    </row>
    <row r="997" spans="1:13">
      <c r="A997" s="203"/>
      <c r="B997" s="201" t="s">
        <v>119</v>
      </c>
      <c r="C997" s="219"/>
      <c r="D997" s="427"/>
      <c r="E997" s="219">
        <v>0.2</v>
      </c>
      <c r="F997" s="220">
        <f>ROUND(SUM(F995:F996)*E997,2)</f>
        <v>31.5</v>
      </c>
      <c r="H997" s="203"/>
      <c r="I997" s="201" t="s">
        <v>119</v>
      </c>
      <c r="J997" s="219"/>
      <c r="K997" s="427"/>
      <c r="L997" s="365">
        <v>0.2</v>
      </c>
      <c r="M997" s="220">
        <f>ROUND(SUM(M995:M996)*L997,2)</f>
        <v>56.9</v>
      </c>
    </row>
    <row r="998" spans="1:13">
      <c r="A998" s="223"/>
      <c r="B998" s="224"/>
      <c r="C998" s="224"/>
      <c r="D998" s="435"/>
      <c r="E998" s="224"/>
      <c r="F998" s="225"/>
      <c r="H998" s="223"/>
      <c r="I998" s="224"/>
      <c r="J998" s="224"/>
      <c r="K998" s="435"/>
      <c r="L998" s="224"/>
      <c r="M998" s="225"/>
    </row>
    <row r="999" spans="1:13">
      <c r="A999" s="198"/>
      <c r="B999" s="198" t="s">
        <v>4</v>
      </c>
      <c r="C999" s="199"/>
      <c r="D999" s="426"/>
      <c r="E999" s="199"/>
      <c r="F999" s="197">
        <f>SUM(F995:F998)</f>
        <v>189.01999999999998</v>
      </c>
      <c r="H999" s="198"/>
      <c r="I999" s="198" t="s">
        <v>4</v>
      </c>
      <c r="J999" s="199"/>
      <c r="K999" s="426"/>
      <c r="L999" s="199"/>
      <c r="M999" s="197">
        <f>SUM(M995:M998)</f>
        <v>341.41999999999996</v>
      </c>
    </row>
    <row r="1001" spans="1:13">
      <c r="A1001" s="199"/>
      <c r="B1001" s="364" t="s">
        <v>623</v>
      </c>
      <c r="C1001" s="199"/>
      <c r="D1001" s="426" t="s">
        <v>592</v>
      </c>
      <c r="E1001" s="199"/>
      <c r="F1001" s="199"/>
      <c r="H1001" s="199"/>
      <c r="I1001" s="198" t="s">
        <v>624</v>
      </c>
      <c r="J1001" s="199"/>
      <c r="K1001" s="426" t="s">
        <v>592</v>
      </c>
      <c r="L1001" s="199"/>
      <c r="M1001" s="199"/>
    </row>
    <row r="1002" spans="1:13">
      <c r="A1002" s="213"/>
      <c r="B1002" s="214"/>
      <c r="C1002" s="214"/>
      <c r="D1002" s="429"/>
      <c r="E1002" s="214"/>
      <c r="F1002" s="215"/>
      <c r="H1002" s="213"/>
      <c r="I1002" s="214"/>
      <c r="J1002" s="214"/>
      <c r="K1002" s="429"/>
      <c r="L1002" s="214"/>
      <c r="M1002" s="215"/>
    </row>
    <row r="1003" spans="1:13">
      <c r="A1003" s="203"/>
      <c r="B1003" s="219" t="s">
        <v>607</v>
      </c>
      <c r="C1003" s="219">
        <v>0.1105</v>
      </c>
      <c r="D1003" s="427" t="s">
        <v>25</v>
      </c>
      <c r="E1003" s="391">
        <v>5430</v>
      </c>
      <c r="F1003" s="220">
        <f t="shared" ref="F1003:F1005" si="370">+C1003*E1003</f>
        <v>600.01499999999999</v>
      </c>
      <c r="H1003" s="203"/>
      <c r="I1003" s="201" t="s">
        <v>598</v>
      </c>
      <c r="J1003" s="219">
        <v>1.05</v>
      </c>
      <c r="K1003" s="427" t="s">
        <v>25</v>
      </c>
      <c r="L1003" s="208">
        <v>6480</v>
      </c>
      <c r="M1003" s="220">
        <f t="shared" ref="M1003:M1008" si="371">+J1003*L1003</f>
        <v>6804</v>
      </c>
    </row>
    <row r="1004" spans="1:13">
      <c r="A1004" s="203"/>
      <c r="B1004" s="219" t="s">
        <v>608</v>
      </c>
      <c r="C1004" s="219">
        <f>0.25/5</f>
        <v>0.05</v>
      </c>
      <c r="D1004" s="427" t="s">
        <v>15</v>
      </c>
      <c r="E1004" s="365">
        <v>3078</v>
      </c>
      <c r="F1004" s="220">
        <f t="shared" si="370"/>
        <v>153.9</v>
      </c>
      <c r="H1004" s="203"/>
      <c r="I1004" s="219" t="s">
        <v>1138</v>
      </c>
      <c r="J1004" s="219">
        <v>1.58</v>
      </c>
      <c r="K1004" s="427" t="s">
        <v>13</v>
      </c>
      <c r="L1004" s="219">
        <v>2270.68345323741</v>
      </c>
      <c r="M1004" s="220">
        <f t="shared" si="371"/>
        <v>3587.6798561151081</v>
      </c>
    </row>
    <row r="1005" spans="1:13">
      <c r="A1005" s="203"/>
      <c r="B1005" s="201" t="s">
        <v>625</v>
      </c>
      <c r="C1005" s="219">
        <v>1</v>
      </c>
      <c r="D1005" s="427" t="s">
        <v>39</v>
      </c>
      <c r="E1005" s="365">
        <v>280</v>
      </c>
      <c r="F1005" s="220">
        <f t="shared" si="370"/>
        <v>280</v>
      </c>
      <c r="H1005" s="203"/>
      <c r="I1005" s="201" t="s">
        <v>14</v>
      </c>
      <c r="J1005" s="219">
        <f>SUM(J1004:J1004)*2</f>
        <v>3.16</v>
      </c>
      <c r="K1005" s="427" t="s">
        <v>15</v>
      </c>
      <c r="L1005" s="219">
        <f>+E805</f>
        <v>486.5</v>
      </c>
      <c r="M1005" s="220">
        <f t="shared" si="371"/>
        <v>1537.3400000000001</v>
      </c>
    </row>
    <row r="1006" spans="1:13">
      <c r="A1006" s="223"/>
      <c r="B1006" s="224"/>
      <c r="C1006" s="224"/>
      <c r="D1006" s="435"/>
      <c r="E1006" s="224"/>
      <c r="F1006" s="225"/>
      <c r="H1006" s="203"/>
      <c r="I1006" s="201" t="s">
        <v>594</v>
      </c>
      <c r="J1006" s="219">
        <f>SUM(J1004:J1004)</f>
        <v>1.58</v>
      </c>
      <c r="K1006" s="427" t="s">
        <v>13</v>
      </c>
      <c r="L1006" s="222">
        <v>400</v>
      </c>
      <c r="M1006" s="220">
        <f t="shared" si="371"/>
        <v>632</v>
      </c>
    </row>
    <row r="1007" spans="1:13">
      <c r="A1007" s="198"/>
      <c r="B1007" s="198" t="s">
        <v>4</v>
      </c>
      <c r="C1007" s="199"/>
      <c r="D1007" s="426"/>
      <c r="E1007" s="199"/>
      <c r="F1007" s="197">
        <f>SUM(F1003:F1006)</f>
        <v>1033.915</v>
      </c>
      <c r="H1007" s="203"/>
      <c r="I1007" s="201" t="s">
        <v>28</v>
      </c>
      <c r="J1007" s="219">
        <f>+J1006</f>
        <v>1.58</v>
      </c>
      <c r="K1007" s="427" t="s">
        <v>13</v>
      </c>
      <c r="L1007" s="222">
        <v>10</v>
      </c>
      <c r="M1007" s="220">
        <f t="shared" si="371"/>
        <v>15.8</v>
      </c>
    </row>
    <row r="1008" spans="1:13">
      <c r="H1008" s="203"/>
      <c r="I1008" s="201" t="s">
        <v>604</v>
      </c>
      <c r="J1008" s="219">
        <f>1/0.15</f>
        <v>6.666666666666667</v>
      </c>
      <c r="K1008" s="427" t="s">
        <v>11</v>
      </c>
      <c r="L1008" s="222">
        <v>650</v>
      </c>
      <c r="M1008" s="220">
        <f t="shared" si="371"/>
        <v>4333.3333333333339</v>
      </c>
    </row>
    <row r="1009" spans="1:13">
      <c r="A1009" s="199"/>
      <c r="B1009" s="198" t="s">
        <v>626</v>
      </c>
      <c r="C1009" s="199"/>
      <c r="E1009" s="199"/>
      <c r="F1009" s="199"/>
      <c r="H1009" s="203"/>
      <c r="I1009" s="201" t="s">
        <v>605</v>
      </c>
      <c r="J1009" s="219"/>
      <c r="K1009" s="427"/>
      <c r="L1009" s="222"/>
      <c r="M1009" s="220"/>
    </row>
    <row r="1010" spans="1:13">
      <c r="A1010" s="213"/>
      <c r="B1010" s="214"/>
      <c r="C1010" s="214"/>
      <c r="D1010" s="429"/>
      <c r="E1010" s="214"/>
      <c r="F1010" s="215"/>
      <c r="H1010" s="203"/>
      <c r="I1010" s="201"/>
      <c r="J1010" s="201"/>
      <c r="K1010" s="427"/>
      <c r="L1010" s="201"/>
      <c r="M1010" s="204"/>
    </row>
    <row r="1011" spans="1:13">
      <c r="A1011" s="203"/>
      <c r="B1011" s="219" t="s">
        <v>593</v>
      </c>
      <c r="C1011" s="219">
        <v>1.05</v>
      </c>
      <c r="D1011" s="427" t="s">
        <v>25</v>
      </c>
      <c r="E1011" s="208">
        <v>5980</v>
      </c>
      <c r="F1011" s="220">
        <f t="shared" ref="F1011:F1013" si="372">+C1011*E1011</f>
        <v>6279</v>
      </c>
      <c r="H1011" s="223"/>
      <c r="I1011" s="224"/>
      <c r="J1011" s="224"/>
      <c r="K1011" s="435"/>
      <c r="L1011" s="224"/>
      <c r="M1011" s="225"/>
    </row>
    <row r="1012" spans="1:13">
      <c r="A1012" s="203"/>
      <c r="B1012" s="219" t="s">
        <v>608</v>
      </c>
      <c r="C1012" s="219">
        <f>0.25*8/3.5</f>
        <v>0.5714285714285714</v>
      </c>
      <c r="D1012" s="427" t="s">
        <v>15</v>
      </c>
      <c r="E1012" s="219">
        <v>3078</v>
      </c>
      <c r="F1012" s="220">
        <f t="shared" si="372"/>
        <v>1758.8571428571427</v>
      </c>
      <c r="H1012" s="198"/>
      <c r="I1012" s="198" t="s">
        <v>548</v>
      </c>
      <c r="J1012" s="199"/>
      <c r="K1012" s="426"/>
      <c r="L1012" s="199"/>
      <c r="M1012" s="197">
        <f>SUM(M1003:M1011)</f>
        <v>16910.153189448443</v>
      </c>
    </row>
    <row r="1013" spans="1:13">
      <c r="A1013" s="203"/>
      <c r="B1013" s="201" t="s">
        <v>627</v>
      </c>
      <c r="C1013" s="219">
        <f>1/0.14</f>
        <v>7.1428571428571423</v>
      </c>
      <c r="D1013" s="427" t="s">
        <v>39</v>
      </c>
      <c r="E1013" s="219">
        <v>295</v>
      </c>
      <c r="F1013" s="220">
        <f t="shared" si="372"/>
        <v>2107.1428571428569</v>
      </c>
    </row>
    <row r="1014" spans="1:13">
      <c r="A1014" s="223"/>
      <c r="B1014" s="224"/>
      <c r="C1014" s="224"/>
      <c r="D1014" s="435"/>
      <c r="E1014" s="224"/>
      <c r="F1014" s="225"/>
    </row>
    <row r="1015" spans="1:13">
      <c r="A1015" s="223"/>
      <c r="B1015" s="224"/>
      <c r="C1015" s="224"/>
      <c r="D1015" s="435"/>
      <c r="E1015" s="224"/>
      <c r="F1015" s="225"/>
    </row>
    <row r="1016" spans="1:13">
      <c r="A1016" s="198"/>
      <c r="B1016" s="198" t="s">
        <v>548</v>
      </c>
      <c r="C1016" s="199"/>
      <c r="D1016" s="426"/>
      <c r="E1016" s="199"/>
      <c r="F1016" s="197">
        <f>SUM(F1011:F1015)</f>
        <v>10145</v>
      </c>
    </row>
    <row r="1018" spans="1:13">
      <c r="A1018" s="199"/>
      <c r="B1018" s="198" t="s">
        <v>628</v>
      </c>
      <c r="C1018" s="199"/>
      <c r="D1018" s="436"/>
      <c r="E1018" s="199"/>
      <c r="F1018" s="199"/>
      <c r="H1018" s="199"/>
      <c r="I1018" s="198"/>
      <c r="J1018" s="199"/>
      <c r="K1018" s="426"/>
      <c r="L1018" s="199"/>
      <c r="M1018" s="199"/>
    </row>
    <row r="1019" spans="1:13">
      <c r="A1019" s="213"/>
      <c r="B1019" s="214"/>
      <c r="C1019" s="214"/>
      <c r="D1019" s="429"/>
      <c r="E1019" s="214"/>
      <c r="F1019" s="215"/>
      <c r="H1019" s="213"/>
      <c r="I1019" s="214"/>
      <c r="J1019" s="214"/>
      <c r="K1019" s="429"/>
      <c r="L1019" s="214"/>
      <c r="M1019" s="215"/>
    </row>
    <row r="1020" spans="1:13">
      <c r="A1020" s="203"/>
      <c r="B1020" s="219" t="s">
        <v>607</v>
      </c>
      <c r="C1020" s="219">
        <v>1.05</v>
      </c>
      <c r="D1020" s="427" t="s">
        <v>25</v>
      </c>
      <c r="E1020" s="208">
        <v>5430</v>
      </c>
      <c r="F1020" s="220">
        <f t="shared" ref="F1020:F1023" si="373">+C1020*E1020</f>
        <v>5701.5</v>
      </c>
      <c r="H1020" s="203"/>
      <c r="I1020" s="219"/>
      <c r="J1020" s="219"/>
      <c r="K1020" s="427"/>
      <c r="L1020" s="208"/>
      <c r="M1020" s="220"/>
    </row>
    <row r="1021" spans="1:13">
      <c r="A1021" s="203"/>
      <c r="B1021" s="201" t="s">
        <v>610</v>
      </c>
      <c r="C1021" s="219">
        <v>10</v>
      </c>
      <c r="D1021" s="427" t="s">
        <v>39</v>
      </c>
      <c r="E1021" s="219">
        <v>145</v>
      </c>
      <c r="F1021" s="220">
        <f t="shared" si="373"/>
        <v>1450</v>
      </c>
      <c r="H1021" s="203"/>
      <c r="I1021" s="219"/>
      <c r="J1021" s="219"/>
      <c r="K1021" s="427"/>
      <c r="L1021" s="219"/>
      <c r="M1021" s="220"/>
    </row>
    <row r="1022" spans="1:13">
      <c r="A1022" s="203"/>
      <c r="B1022" s="201" t="s">
        <v>629</v>
      </c>
      <c r="C1022" s="219">
        <f>+C1021*1.05</f>
        <v>10.5</v>
      </c>
      <c r="D1022" s="427" t="s">
        <v>39</v>
      </c>
      <c r="E1022" s="219">
        <v>136.79999999999998</v>
      </c>
      <c r="F1022" s="220">
        <f t="shared" si="373"/>
        <v>1436.3999999999999</v>
      </c>
      <c r="H1022" s="203"/>
      <c r="I1022" s="201"/>
      <c r="J1022" s="219"/>
      <c r="K1022" s="427"/>
      <c r="L1022" s="219"/>
      <c r="M1022" s="220"/>
    </row>
    <row r="1023" spans="1:13">
      <c r="A1023" s="203"/>
      <c r="B1023" s="201" t="s">
        <v>630</v>
      </c>
      <c r="C1023" s="219">
        <f>+C1022</f>
        <v>10.5</v>
      </c>
      <c r="D1023" s="427" t="s">
        <v>39</v>
      </c>
      <c r="E1023" s="219">
        <v>45</v>
      </c>
      <c r="F1023" s="220">
        <f t="shared" si="373"/>
        <v>472.5</v>
      </c>
      <c r="H1023" s="223"/>
      <c r="I1023" s="224"/>
      <c r="J1023" s="224"/>
      <c r="K1023" s="435"/>
      <c r="L1023" s="224"/>
      <c r="M1023" s="225"/>
    </row>
    <row r="1024" spans="1:13">
      <c r="A1024" s="223"/>
      <c r="B1024" s="224"/>
      <c r="C1024" s="224"/>
      <c r="D1024" s="435"/>
      <c r="E1024" s="224"/>
      <c r="F1024" s="225"/>
      <c r="H1024" s="198"/>
      <c r="I1024" s="198"/>
      <c r="J1024" s="199"/>
      <c r="K1024" s="426"/>
      <c r="L1024" s="199"/>
      <c r="M1024" s="197"/>
    </row>
    <row r="1025" spans="1:13">
      <c r="A1025" s="223"/>
      <c r="B1025" s="224"/>
      <c r="C1025" s="224"/>
      <c r="D1025" s="435"/>
      <c r="E1025" s="224"/>
      <c r="F1025" s="225"/>
    </row>
    <row r="1026" spans="1:13">
      <c r="A1026" s="198"/>
      <c r="B1026" s="198" t="s">
        <v>548</v>
      </c>
      <c r="C1026" s="199"/>
      <c r="D1026" s="426"/>
      <c r="E1026" s="199"/>
      <c r="F1026" s="197">
        <f>SUM(F1020:F1025)</f>
        <v>9060.4</v>
      </c>
    </row>
    <row r="1029" spans="1:13">
      <c r="H1029" s="205"/>
      <c r="I1029" s="219"/>
      <c r="J1029" s="219"/>
      <c r="K1029" s="427"/>
      <c r="L1029" s="208"/>
      <c r="M1029" s="209"/>
    </row>
    <row r="1030" spans="1:13">
      <c r="A1030" s="199"/>
      <c r="B1030" s="198" t="s">
        <v>631</v>
      </c>
      <c r="C1030" s="199"/>
      <c r="D1030" s="426" t="s">
        <v>632</v>
      </c>
      <c r="E1030" s="199"/>
      <c r="F1030" s="199"/>
      <c r="H1030" s="205"/>
      <c r="I1030" s="219"/>
      <c r="J1030" s="219"/>
      <c r="K1030" s="427"/>
      <c r="L1030" s="216"/>
      <c r="M1030" s="209"/>
    </row>
    <row r="1031" spans="1:13">
      <c r="A1031" s="213"/>
      <c r="B1031" s="219" t="s">
        <v>607</v>
      </c>
      <c r="C1031" s="219">
        <v>1.05</v>
      </c>
      <c r="D1031" s="427" t="s">
        <v>25</v>
      </c>
      <c r="E1031" s="208">
        <v>5430</v>
      </c>
      <c r="F1031" s="220">
        <f t="shared" ref="F1031:F1035" si="374">+C1031*E1031</f>
        <v>5701.5</v>
      </c>
      <c r="H1031" s="205"/>
      <c r="I1031" s="201"/>
      <c r="J1031" s="219"/>
      <c r="K1031" s="427"/>
      <c r="L1031" s="208"/>
      <c r="M1031" s="209"/>
    </row>
    <row r="1032" spans="1:13">
      <c r="A1032" s="203"/>
      <c r="B1032" s="219" t="s">
        <v>633</v>
      </c>
      <c r="C1032" s="219">
        <v>10.5</v>
      </c>
      <c r="D1032" s="427" t="s">
        <v>39</v>
      </c>
      <c r="E1032" s="219">
        <f>1.1*368.98</f>
        <v>405.87800000000004</v>
      </c>
      <c r="F1032" s="220">
        <f t="shared" si="374"/>
        <v>4261.7190000000001</v>
      </c>
      <c r="H1032" s="205"/>
      <c r="I1032" s="201"/>
      <c r="J1032" s="219"/>
      <c r="K1032" s="427"/>
      <c r="L1032" s="208"/>
      <c r="M1032" s="209"/>
    </row>
    <row r="1033" spans="1:13">
      <c r="A1033" s="203"/>
      <c r="B1033" s="201" t="s">
        <v>610</v>
      </c>
      <c r="C1033" s="219">
        <f>1/0.1</f>
        <v>10</v>
      </c>
      <c r="D1033" s="427" t="s">
        <v>39</v>
      </c>
      <c r="E1033" s="219">
        <v>140</v>
      </c>
      <c r="F1033" s="220">
        <f t="shared" si="374"/>
        <v>1400</v>
      </c>
      <c r="H1033" s="205"/>
      <c r="I1033" s="201"/>
      <c r="J1033" s="219"/>
      <c r="K1033" s="427"/>
      <c r="L1033" s="208"/>
      <c r="M1033" s="209"/>
    </row>
    <row r="1034" spans="1:13">
      <c r="A1034" s="203"/>
      <c r="B1034" s="201" t="s">
        <v>634</v>
      </c>
      <c r="C1034" s="219">
        <v>11</v>
      </c>
      <c r="D1034" s="427" t="s">
        <v>39</v>
      </c>
      <c r="E1034" s="219">
        <v>106.92</v>
      </c>
      <c r="F1034" s="220">
        <f t="shared" si="374"/>
        <v>1176.1200000000001</v>
      </c>
      <c r="H1034" s="205"/>
      <c r="I1034" s="210"/>
      <c r="J1034" s="207"/>
      <c r="K1034" s="428"/>
      <c r="L1034" s="208"/>
      <c r="M1034" s="209"/>
    </row>
    <row r="1035" spans="1:13">
      <c r="A1035" s="223"/>
      <c r="B1035" s="201" t="s">
        <v>635</v>
      </c>
      <c r="C1035" s="219">
        <f>1/0.1</f>
        <v>10</v>
      </c>
      <c r="D1035" s="427" t="s">
        <v>39</v>
      </c>
      <c r="E1035" s="219">
        <v>45</v>
      </c>
      <c r="F1035" s="220">
        <f t="shared" si="374"/>
        <v>450</v>
      </c>
      <c r="H1035" s="198"/>
      <c r="I1035" s="198"/>
      <c r="J1035" s="199"/>
      <c r="K1035" s="426"/>
      <c r="L1035" s="199"/>
      <c r="M1035" s="197"/>
    </row>
    <row r="1036" spans="1:13">
      <c r="A1036" s="198"/>
      <c r="B1036" s="198" t="s">
        <v>548</v>
      </c>
      <c r="C1036" s="199"/>
      <c r="D1036" s="426"/>
      <c r="E1036" s="199"/>
      <c r="F1036" s="197">
        <f>SUM(F1031:F1035)</f>
        <v>12989.339000000002</v>
      </c>
    </row>
    <row r="1040" spans="1:13">
      <c r="A1040" s="199"/>
      <c r="B1040" s="364" t="s">
        <v>636</v>
      </c>
      <c r="C1040" s="199"/>
      <c r="D1040" s="426"/>
      <c r="E1040" s="199"/>
      <c r="F1040" s="199"/>
      <c r="H1040" s="199"/>
      <c r="I1040" s="198"/>
      <c r="J1040" s="199"/>
      <c r="K1040" s="426"/>
      <c r="L1040" s="199"/>
      <c r="M1040" s="199"/>
    </row>
    <row r="1041" spans="1:13">
      <c r="A1041" s="213"/>
      <c r="B1041" s="214"/>
      <c r="C1041" s="214"/>
      <c r="D1041" s="429"/>
      <c r="E1041" s="214"/>
      <c r="F1041" s="215"/>
      <c r="H1041" s="213"/>
      <c r="I1041" s="214"/>
      <c r="J1041" s="214"/>
      <c r="K1041" s="429"/>
      <c r="L1041" s="214"/>
      <c r="M1041" s="215"/>
    </row>
    <row r="1042" spans="1:13">
      <c r="A1042" s="205"/>
      <c r="B1042" s="219" t="s">
        <v>637</v>
      </c>
      <c r="C1042" s="219">
        <f>1*0.5*0.08*1.05</f>
        <v>4.2000000000000003E-2</v>
      </c>
      <c r="D1042" s="427" t="s">
        <v>25</v>
      </c>
      <c r="E1042" s="208" t="e">
        <f>+M809*0.8</f>
        <v>#REF!</v>
      </c>
      <c r="F1042" s="209" t="e">
        <f t="shared" ref="F1042:F1046" si="375">+C1042*E1042</f>
        <v>#REF!</v>
      </c>
      <c r="H1042" s="205"/>
      <c r="I1042" s="201"/>
      <c r="J1042" s="219"/>
      <c r="K1042" s="427"/>
      <c r="L1042" s="208"/>
      <c r="M1042" s="209"/>
    </row>
    <row r="1043" spans="1:13">
      <c r="A1043" s="205"/>
      <c r="B1043" s="219" t="s">
        <v>638</v>
      </c>
      <c r="C1043" s="219">
        <f>1*0.5</f>
        <v>0.5</v>
      </c>
      <c r="D1043" s="427" t="s">
        <v>39</v>
      </c>
      <c r="E1043" s="216">
        <v>125</v>
      </c>
      <c r="F1043" s="209">
        <f t="shared" si="375"/>
        <v>62.5</v>
      </c>
      <c r="H1043" s="205"/>
      <c r="I1043" s="201"/>
      <c r="J1043" s="219"/>
      <c r="K1043" s="427"/>
      <c r="L1043" s="208"/>
      <c r="M1043" s="209"/>
    </row>
    <row r="1044" spans="1:13">
      <c r="A1044" s="205"/>
      <c r="B1044" s="219" t="s">
        <v>639</v>
      </c>
      <c r="C1044" s="219">
        <f>5*0.4*0.4/6</f>
        <v>0.13333333333333333</v>
      </c>
      <c r="D1044" s="427" t="s">
        <v>39</v>
      </c>
      <c r="E1044" s="216">
        <f>+F35</f>
        <v>1173.6330682589928</v>
      </c>
      <c r="F1044" s="209">
        <f t="shared" si="375"/>
        <v>156.48440910119905</v>
      </c>
      <c r="H1044" s="205"/>
      <c r="I1044" s="201"/>
      <c r="J1044" s="219"/>
      <c r="K1044" s="427"/>
      <c r="L1044" s="208"/>
      <c r="M1044" s="209"/>
    </row>
    <row r="1045" spans="1:13">
      <c r="A1045" s="205"/>
      <c r="B1045" s="201" t="s">
        <v>640</v>
      </c>
      <c r="C1045" s="219">
        <f>+C1044*2</f>
        <v>0.26666666666666666</v>
      </c>
      <c r="D1045" s="427" t="s">
        <v>39</v>
      </c>
      <c r="E1045" s="208">
        <f>+F65</f>
        <v>326.12451699999997</v>
      </c>
      <c r="F1045" s="209">
        <f t="shared" si="375"/>
        <v>86.966537866666656</v>
      </c>
      <c r="H1045" s="205"/>
      <c r="I1045" s="201"/>
      <c r="J1045" s="219"/>
      <c r="K1045" s="427"/>
      <c r="L1045" s="208"/>
      <c r="M1045" s="209"/>
    </row>
    <row r="1046" spans="1:13">
      <c r="A1046" s="205"/>
      <c r="B1046" s="201" t="s">
        <v>641</v>
      </c>
      <c r="C1046" s="219">
        <f>4*0.4</f>
        <v>1.6</v>
      </c>
      <c r="D1046" s="427" t="s">
        <v>91</v>
      </c>
      <c r="E1046" s="208">
        <f>+F73</f>
        <v>133.41965249999998</v>
      </c>
      <c r="F1046" s="209">
        <f t="shared" si="375"/>
        <v>213.47144399999999</v>
      </c>
      <c r="H1046" s="205"/>
      <c r="I1046" s="201"/>
      <c r="J1046" s="219"/>
      <c r="K1046" s="427"/>
      <c r="L1046" s="208"/>
      <c r="M1046" s="209"/>
    </row>
    <row r="1047" spans="1:13">
      <c r="A1047" s="205"/>
      <c r="B1047" s="210"/>
      <c r="C1047" s="207"/>
      <c r="D1047" s="428"/>
      <c r="E1047" s="208"/>
      <c r="F1047" s="209"/>
      <c r="H1047" s="205"/>
      <c r="I1047" s="201"/>
      <c r="J1047" s="219"/>
      <c r="K1047" s="427"/>
      <c r="L1047" s="208"/>
      <c r="M1047" s="209"/>
    </row>
    <row r="1048" spans="1:13">
      <c r="A1048" s="198"/>
      <c r="B1048" s="198" t="s">
        <v>603</v>
      </c>
      <c r="C1048" s="199"/>
      <c r="D1048" s="426"/>
      <c r="E1048" s="199"/>
      <c r="F1048" s="197">
        <v>6003.6</v>
      </c>
      <c r="H1048" s="205"/>
      <c r="I1048" s="201"/>
      <c r="J1048" s="219"/>
      <c r="K1048" s="427"/>
      <c r="L1048" s="208"/>
      <c r="M1048" s="209"/>
    </row>
    <row r="1049" spans="1:13">
      <c r="H1049" s="205"/>
      <c r="I1049" s="201"/>
      <c r="J1049" s="219"/>
      <c r="K1049" s="427"/>
      <c r="L1049" s="208"/>
      <c r="M1049" s="209"/>
    </row>
    <row r="1050" spans="1:13">
      <c r="H1050" s="201"/>
      <c r="I1050" s="201"/>
      <c r="J1050" s="219"/>
      <c r="K1050" s="427"/>
      <c r="L1050" s="208"/>
      <c r="M1050" s="209"/>
    </row>
    <row r="1054" spans="1:13">
      <c r="B1054" s="324" t="s">
        <v>770</v>
      </c>
      <c r="C1054" s="325"/>
      <c r="D1054" s="326"/>
      <c r="E1054" s="327"/>
      <c r="F1054" s="328"/>
      <c r="G1054" s="329"/>
    </row>
    <row r="1055" spans="1:13">
      <c r="B1055" s="330" t="s">
        <v>509</v>
      </c>
      <c r="C1055" s="325" t="e">
        <f>#REF!</f>
        <v>#REF!</v>
      </c>
      <c r="D1055" s="326" t="s">
        <v>108</v>
      </c>
      <c r="E1055" s="327"/>
      <c r="F1055" s="328"/>
      <c r="G1055" s="329"/>
    </row>
    <row r="1056" spans="1:13">
      <c r="B1056" s="330" t="s">
        <v>771</v>
      </c>
      <c r="C1056" s="325" t="e">
        <f>C1055*1.05</f>
        <v>#REF!</v>
      </c>
      <c r="D1056" s="326" t="s">
        <v>108</v>
      </c>
      <c r="E1056" s="327" t="e">
        <f>#REF!</f>
        <v>#REF!</v>
      </c>
      <c r="F1056" s="328" t="e">
        <f t="shared" ref="F1056:F1062" si="376">C1056*E1056</f>
        <v>#REF!</v>
      </c>
      <c r="G1056" s="329"/>
    </row>
    <row r="1057" spans="2:7">
      <c r="B1057" s="330" t="s">
        <v>510</v>
      </c>
      <c r="C1057" s="325" t="e">
        <f>#REF!</f>
        <v>#REF!</v>
      </c>
      <c r="D1057" s="326" t="s">
        <v>122</v>
      </c>
      <c r="E1057" s="327" t="e">
        <f>E1108</f>
        <v>#REF!</v>
      </c>
      <c r="F1057" s="328" t="e">
        <f t="shared" si="376"/>
        <v>#REF!</v>
      </c>
      <c r="G1057" s="329"/>
    </row>
    <row r="1058" spans="2:7">
      <c r="B1058" s="330" t="s">
        <v>38</v>
      </c>
      <c r="C1058" s="325" t="e">
        <f>C1057*2</f>
        <v>#REF!</v>
      </c>
      <c r="D1058" s="326" t="s">
        <v>30</v>
      </c>
      <c r="E1058" s="327" t="e">
        <f>E1109</f>
        <v>#REF!</v>
      </c>
      <c r="F1058" s="328" t="e">
        <f t="shared" si="376"/>
        <v>#REF!</v>
      </c>
      <c r="G1058" s="329"/>
    </row>
    <row r="1059" spans="2:7">
      <c r="B1059" s="392" t="s">
        <v>594</v>
      </c>
      <c r="C1059" s="365" t="e">
        <f>C1057</f>
        <v>#REF!</v>
      </c>
      <c r="D1059" s="437" t="s">
        <v>13</v>
      </c>
      <c r="E1059" s="391" t="e">
        <f>E1110</f>
        <v>#REF!</v>
      </c>
      <c r="F1059" s="393" t="e">
        <f t="shared" ref="F1059" si="377">+C1059*E1059</f>
        <v>#REF!</v>
      </c>
      <c r="G1059" s="329"/>
    </row>
    <row r="1060" spans="2:7">
      <c r="B1060" s="330" t="s">
        <v>511</v>
      </c>
      <c r="C1060" s="325" t="e">
        <f>C1055</f>
        <v>#REF!</v>
      </c>
      <c r="D1060" s="326" t="s">
        <v>108</v>
      </c>
      <c r="E1060" s="327" t="e">
        <f>#REF!</f>
        <v>#REF!</v>
      </c>
      <c r="F1060" s="328"/>
      <c r="G1060" s="329"/>
    </row>
    <row r="1061" spans="2:7">
      <c r="B1061" s="330" t="s">
        <v>691</v>
      </c>
      <c r="C1061" s="325">
        <v>2</v>
      </c>
      <c r="D1061" s="326" t="s">
        <v>16</v>
      </c>
      <c r="E1061" s="327">
        <v>6000</v>
      </c>
      <c r="F1061" s="328">
        <f t="shared" si="376"/>
        <v>12000</v>
      </c>
      <c r="G1061" s="329"/>
    </row>
    <row r="1062" spans="2:7">
      <c r="B1062" s="330" t="s">
        <v>512</v>
      </c>
      <c r="C1062" s="325" t="e">
        <f>SUM(F1055:F1057)</f>
        <v>#REF!</v>
      </c>
      <c r="D1062" s="326" t="s">
        <v>2</v>
      </c>
      <c r="E1062" s="327">
        <v>0.02</v>
      </c>
      <c r="F1062" s="328" t="e">
        <f t="shared" si="376"/>
        <v>#REF!</v>
      </c>
      <c r="G1062" s="329" t="e">
        <f>SUM(F1054:F1062)</f>
        <v>#REF!</v>
      </c>
    </row>
    <row r="1063" spans="2:7">
      <c r="B1063" s="1"/>
      <c r="C1063" s="153"/>
      <c r="D1063" s="2"/>
      <c r="E1063" s="5"/>
      <c r="F1063" s="355" t="s">
        <v>513</v>
      </c>
      <c r="G1063" s="329" t="e">
        <f>G1062/C1055</f>
        <v>#REF!</v>
      </c>
    </row>
    <row r="1066" spans="2:7">
      <c r="B1066" s="324" t="s">
        <v>891</v>
      </c>
      <c r="C1066" s="325"/>
      <c r="D1066" s="326"/>
      <c r="E1066" s="327"/>
      <c r="F1066" s="328"/>
      <c r="G1066" s="329"/>
    </row>
    <row r="1067" spans="2:7">
      <c r="B1067" s="330" t="s">
        <v>509</v>
      </c>
      <c r="C1067" s="325" t="e">
        <f>#REF!</f>
        <v>#REF!</v>
      </c>
      <c r="D1067" s="326" t="s">
        <v>108</v>
      </c>
      <c r="E1067" s="327"/>
      <c r="F1067" s="328"/>
      <c r="G1067" s="329"/>
    </row>
    <row r="1068" spans="2:7">
      <c r="B1068" s="330" t="s">
        <v>771</v>
      </c>
      <c r="C1068" s="325" t="e">
        <f>#REF!*1.05</f>
        <v>#REF!</v>
      </c>
      <c r="D1068" s="326" t="s">
        <v>108</v>
      </c>
      <c r="E1068" s="327" t="e">
        <f>E1056</f>
        <v>#REF!</v>
      </c>
      <c r="F1068" s="328" t="e">
        <f t="shared" ref="F1068:F1070" si="378">C1068*E1068</f>
        <v>#REF!</v>
      </c>
      <c r="G1068" s="329"/>
    </row>
    <row r="1069" spans="2:7">
      <c r="B1069" s="330" t="s">
        <v>510</v>
      </c>
      <c r="C1069" s="325" t="e">
        <f>#REF!</f>
        <v>#REF!</v>
      </c>
      <c r="D1069" s="326" t="s">
        <v>122</v>
      </c>
      <c r="E1069" s="327" t="e">
        <f>E1057</f>
        <v>#REF!</v>
      </c>
      <c r="F1069" s="328" t="e">
        <f t="shared" si="378"/>
        <v>#REF!</v>
      </c>
      <c r="G1069" s="329"/>
    </row>
    <row r="1070" spans="2:7">
      <c r="B1070" s="330" t="s">
        <v>38</v>
      </c>
      <c r="C1070" s="325" t="e">
        <f>C1069*2</f>
        <v>#REF!</v>
      </c>
      <c r="D1070" s="326" t="s">
        <v>30</v>
      </c>
      <c r="E1070" s="327" t="e">
        <f>E1058</f>
        <v>#REF!</v>
      </c>
      <c r="F1070" s="328" t="e">
        <f t="shared" si="378"/>
        <v>#REF!</v>
      </c>
      <c r="G1070" s="329"/>
    </row>
    <row r="1071" spans="2:7">
      <c r="B1071" s="392" t="s">
        <v>594</v>
      </c>
      <c r="C1071" s="365" t="e">
        <f>C1069</f>
        <v>#REF!</v>
      </c>
      <c r="D1071" s="437" t="s">
        <v>13</v>
      </c>
      <c r="E1071" s="391" t="e">
        <f>#REF!</f>
        <v>#REF!</v>
      </c>
      <c r="F1071" s="393" t="e">
        <f t="shared" ref="F1071" si="379">+C1071*E1071</f>
        <v>#REF!</v>
      </c>
      <c r="G1071" s="329"/>
    </row>
    <row r="1072" spans="2:7">
      <c r="B1072" s="330" t="s">
        <v>511</v>
      </c>
      <c r="C1072" s="325" t="e">
        <f>C1067</f>
        <v>#REF!</v>
      </c>
      <c r="D1072" s="326" t="s">
        <v>108</v>
      </c>
      <c r="E1072" s="327" t="e">
        <f>E1060</f>
        <v>#REF!</v>
      </c>
      <c r="F1072" s="328"/>
      <c r="G1072" s="329"/>
    </row>
    <row r="1073" spans="2:7">
      <c r="B1073" s="330" t="s">
        <v>691</v>
      </c>
      <c r="C1073" s="325">
        <v>2</v>
      </c>
      <c r="D1073" s="326" t="s">
        <v>16</v>
      </c>
      <c r="E1073" s="327">
        <v>6000</v>
      </c>
      <c r="F1073" s="328">
        <f t="shared" ref="F1073:F1074" si="380">C1073*E1073</f>
        <v>12000</v>
      </c>
      <c r="G1073" s="329"/>
    </row>
    <row r="1074" spans="2:7">
      <c r="B1074" s="330" t="s">
        <v>512</v>
      </c>
      <c r="C1074" s="325" t="e">
        <f>SUM(F1067:F1069)</f>
        <v>#REF!</v>
      </c>
      <c r="D1074" s="326" t="s">
        <v>2</v>
      </c>
      <c r="E1074" s="327">
        <v>0.02</v>
      </c>
      <c r="F1074" s="328" t="e">
        <f t="shared" si="380"/>
        <v>#REF!</v>
      </c>
      <c r="G1074" s="329" t="e">
        <f>SUM(F1066:F1074)</f>
        <v>#REF!</v>
      </c>
    </row>
    <row r="1075" spans="2:7">
      <c r="B1075" s="1"/>
      <c r="C1075" s="153"/>
      <c r="D1075" s="2"/>
      <c r="E1075" s="5"/>
      <c r="F1075" s="355" t="s">
        <v>513</v>
      </c>
      <c r="G1075" s="329" t="e">
        <f>G1074/C1067</f>
        <v>#REF!</v>
      </c>
    </row>
    <row r="1078" spans="2:7">
      <c r="B1078" s="324" t="s">
        <v>890</v>
      </c>
      <c r="C1078" s="325"/>
      <c r="D1078" s="326"/>
      <c r="E1078" s="327"/>
      <c r="F1078" s="328"/>
      <c r="G1078" s="329"/>
    </row>
    <row r="1079" spans="2:7">
      <c r="B1079" s="330" t="s">
        <v>509</v>
      </c>
      <c r="C1079" s="325" t="e">
        <f>#REF!</f>
        <v>#REF!</v>
      </c>
      <c r="D1079" s="326" t="s">
        <v>108</v>
      </c>
      <c r="E1079" s="327"/>
      <c r="F1079" s="328"/>
      <c r="G1079" s="329"/>
    </row>
    <row r="1080" spans="2:7">
      <c r="B1080" s="330" t="s">
        <v>771</v>
      </c>
      <c r="C1080" s="325" t="e">
        <f>#REF!*1.05</f>
        <v>#REF!</v>
      </c>
      <c r="D1080" s="326" t="s">
        <v>108</v>
      </c>
      <c r="E1080" s="327" t="e">
        <f>E1068</f>
        <v>#REF!</v>
      </c>
      <c r="F1080" s="328" t="e">
        <f t="shared" ref="F1080:F1082" si="381">C1080*E1080</f>
        <v>#REF!</v>
      </c>
      <c r="G1080" s="329"/>
    </row>
    <row r="1081" spans="2:7">
      <c r="B1081" s="330" t="s">
        <v>510</v>
      </c>
      <c r="C1081" s="325" t="e">
        <f>#REF!</f>
        <v>#REF!</v>
      </c>
      <c r="D1081" s="326" t="s">
        <v>122</v>
      </c>
      <c r="E1081" s="327" t="e">
        <f>E1069</f>
        <v>#REF!</v>
      </c>
      <c r="F1081" s="328" t="e">
        <f t="shared" si="381"/>
        <v>#REF!</v>
      </c>
      <c r="G1081" s="329"/>
    </row>
    <row r="1082" spans="2:7">
      <c r="B1082" s="330" t="s">
        <v>38</v>
      </c>
      <c r="C1082" s="325" t="e">
        <f>C1081*2</f>
        <v>#REF!</v>
      </c>
      <c r="D1082" s="326" t="s">
        <v>30</v>
      </c>
      <c r="E1082" s="327" t="e">
        <f>E1070</f>
        <v>#REF!</v>
      </c>
      <c r="F1082" s="328" t="e">
        <f t="shared" si="381"/>
        <v>#REF!</v>
      </c>
      <c r="G1082" s="329"/>
    </row>
    <row r="1083" spans="2:7">
      <c r="B1083" s="392" t="s">
        <v>594</v>
      </c>
      <c r="C1083" s="365" t="e">
        <f>C1081</f>
        <v>#REF!</v>
      </c>
      <c r="D1083" s="437" t="s">
        <v>13</v>
      </c>
      <c r="E1083" s="391" t="e">
        <f>#REF!</f>
        <v>#REF!</v>
      </c>
      <c r="F1083" s="393" t="e">
        <f t="shared" ref="F1083" si="382">+C1083*E1083</f>
        <v>#REF!</v>
      </c>
      <c r="G1083" s="329"/>
    </row>
    <row r="1084" spans="2:7">
      <c r="B1084" s="330" t="s">
        <v>511</v>
      </c>
      <c r="C1084" s="325" t="e">
        <f>C1079</f>
        <v>#REF!</v>
      </c>
      <c r="D1084" s="326" t="s">
        <v>108</v>
      </c>
      <c r="E1084" s="327" t="e">
        <f>E1072</f>
        <v>#REF!</v>
      </c>
      <c r="F1084" s="328"/>
      <c r="G1084" s="329"/>
    </row>
    <row r="1085" spans="2:7">
      <c r="B1085" s="330" t="s">
        <v>691</v>
      </c>
      <c r="C1085" s="325">
        <v>2</v>
      </c>
      <c r="D1085" s="326" t="s">
        <v>16</v>
      </c>
      <c r="E1085" s="327">
        <v>6000</v>
      </c>
      <c r="F1085" s="328">
        <f t="shared" ref="F1085:F1086" si="383">C1085*E1085</f>
        <v>12000</v>
      </c>
      <c r="G1085" s="329"/>
    </row>
    <row r="1086" spans="2:7">
      <c r="B1086" s="330" t="s">
        <v>512</v>
      </c>
      <c r="C1086" s="325" t="e">
        <f>SUM(F1079:F1081)</f>
        <v>#REF!</v>
      </c>
      <c r="D1086" s="326" t="s">
        <v>2</v>
      </c>
      <c r="E1086" s="327">
        <v>0.02</v>
      </c>
      <c r="F1086" s="328" t="e">
        <f t="shared" si="383"/>
        <v>#REF!</v>
      </c>
      <c r="G1086" s="329" t="e">
        <f>SUM(F1078:F1086)</f>
        <v>#REF!</v>
      </c>
    </row>
    <row r="1087" spans="2:7">
      <c r="B1087" s="1"/>
      <c r="C1087" s="153"/>
      <c r="D1087" s="2"/>
      <c r="E1087" s="5"/>
      <c r="F1087" s="355" t="s">
        <v>513</v>
      </c>
      <c r="G1087" s="329" t="e">
        <f>G1086/C1079</f>
        <v>#REF!</v>
      </c>
    </row>
    <row r="1094" spans="2:7">
      <c r="B1094" s="324" t="s">
        <v>672</v>
      </c>
      <c r="C1094" s="336"/>
      <c r="D1094" s="332" t="s">
        <v>89</v>
      </c>
      <c r="E1094" s="333"/>
      <c r="F1094" s="334" t="s">
        <v>5</v>
      </c>
      <c r="G1094" s="335" t="s">
        <v>11</v>
      </c>
    </row>
    <row r="1095" spans="2:7">
      <c r="B1095" s="330" t="s">
        <v>86</v>
      </c>
      <c r="C1095" s="339">
        <v>1.04E-2</v>
      </c>
      <c r="D1095" s="326" t="s">
        <v>17</v>
      </c>
      <c r="E1095" s="333" t="e">
        <f>#REF!</f>
        <v>#REF!</v>
      </c>
      <c r="F1095" s="328" t="e">
        <f t="shared" ref="F1095:F1102" si="384">ROUND(C1095*E1095,2)</f>
        <v>#REF!</v>
      </c>
      <c r="G1095" s="329"/>
    </row>
    <row r="1096" spans="2:7">
      <c r="B1096" s="330" t="s">
        <v>673</v>
      </c>
      <c r="C1096" s="331">
        <v>8.4000000000000005E-2</v>
      </c>
      <c r="D1096" s="326" t="s">
        <v>25</v>
      </c>
      <c r="E1096" s="333" t="e">
        <f>#REF!</f>
        <v>#REF!</v>
      </c>
      <c r="F1096" s="328" t="e">
        <f t="shared" si="384"/>
        <v>#REF!</v>
      </c>
      <c r="G1096" s="329"/>
    </row>
    <row r="1097" spans="2:7">
      <c r="B1097" s="351" t="s">
        <v>46</v>
      </c>
      <c r="C1097" s="371" t="e">
        <f>#REF!</f>
        <v>#REF!</v>
      </c>
      <c r="D1097" s="348" t="s">
        <v>0</v>
      </c>
      <c r="E1097" s="372" t="e">
        <f>E1057</f>
        <v>#REF!</v>
      </c>
      <c r="F1097" s="350" t="e">
        <f t="shared" ref="F1097:F1098" si="385">C1097*E1097</f>
        <v>#REF!</v>
      </c>
      <c r="G1097" s="329"/>
    </row>
    <row r="1098" spans="2:7">
      <c r="B1098" s="351" t="s">
        <v>38</v>
      </c>
      <c r="C1098" s="347" t="e">
        <f>C1097*2</f>
        <v>#REF!</v>
      </c>
      <c r="D1098" s="348" t="s">
        <v>30</v>
      </c>
      <c r="E1098" s="349">
        <f t="shared" ref="E1098" si="386">E1073</f>
        <v>6000</v>
      </c>
      <c r="F1098" s="350" t="e">
        <f t="shared" si="385"/>
        <v>#REF!</v>
      </c>
      <c r="G1098" s="329"/>
    </row>
    <row r="1099" spans="2:7">
      <c r="B1099" s="201" t="s">
        <v>594</v>
      </c>
      <c r="C1099" s="219" t="e">
        <f>C1097</f>
        <v>#REF!</v>
      </c>
      <c r="D1099" s="427" t="s">
        <v>13</v>
      </c>
      <c r="E1099" s="208">
        <v>400</v>
      </c>
      <c r="F1099" s="209" t="e">
        <f t="shared" ref="F1099" si="387">+C1099*E1099</f>
        <v>#REF!</v>
      </c>
      <c r="G1099" s="329"/>
    </row>
    <row r="1100" spans="2:7">
      <c r="B1100" s="330" t="s">
        <v>88</v>
      </c>
      <c r="C1100" s="340">
        <v>8.7999999999999995E-2</v>
      </c>
      <c r="D1100" s="326" t="s">
        <v>81</v>
      </c>
      <c r="E1100" s="333" t="e">
        <f>#REF!</f>
        <v>#REF!</v>
      </c>
      <c r="F1100" s="328" t="e">
        <f>ROUND(C1100*E1100,2)</f>
        <v>#REF!</v>
      </c>
      <c r="G1100" s="329"/>
    </row>
    <row r="1101" spans="2:7">
      <c r="B1101" s="330" t="s">
        <v>87</v>
      </c>
      <c r="C1101" s="336">
        <v>0.11</v>
      </c>
      <c r="D1101" s="326" t="s">
        <v>0</v>
      </c>
      <c r="E1101" s="333" t="e">
        <f>#REF!</f>
        <v>#REF!</v>
      </c>
      <c r="F1101" s="328" t="e">
        <f t="shared" si="384"/>
        <v>#REF!</v>
      </c>
      <c r="G1101" s="329"/>
    </row>
    <row r="1102" spans="2:7">
      <c r="B1102" s="330" t="s">
        <v>7</v>
      </c>
      <c r="C1102" s="336" t="e">
        <f>SUM(F1095:F1096)+F1100</f>
        <v>#REF!</v>
      </c>
      <c r="D1102" s="326" t="s">
        <v>8</v>
      </c>
      <c r="E1102" s="333" t="e">
        <f>#REF!</f>
        <v>#REF!</v>
      </c>
      <c r="F1102" s="328" t="e">
        <f t="shared" si="384"/>
        <v>#REF!</v>
      </c>
      <c r="G1102" s="329" t="e">
        <f>SUM(F1095:F1102)</f>
        <v>#REF!</v>
      </c>
    </row>
    <row r="1106" spans="2:7">
      <c r="B1106" s="324" t="s">
        <v>888</v>
      </c>
      <c r="C1106" s="325"/>
      <c r="D1106" s="326"/>
      <c r="E1106" s="327"/>
      <c r="F1106" s="328"/>
      <c r="G1106" s="329"/>
    </row>
    <row r="1107" spans="2:7">
      <c r="B1107" s="330" t="s">
        <v>41</v>
      </c>
      <c r="C1107" s="325">
        <v>1.05</v>
      </c>
      <c r="D1107" s="326" t="s">
        <v>25</v>
      </c>
      <c r="E1107" s="327" t="e">
        <f>#REF!</f>
        <v>#REF!</v>
      </c>
      <c r="F1107" s="328" t="e">
        <f t="shared" ref="F1107:F1114" si="388">C1107*E1107</f>
        <v>#REF!</v>
      </c>
      <c r="G1107" s="329"/>
    </row>
    <row r="1108" spans="2:7">
      <c r="B1108" s="330" t="s">
        <v>43</v>
      </c>
      <c r="C1108" s="325" t="e">
        <f>#REF!</f>
        <v>#REF!</v>
      </c>
      <c r="D1108" s="326" t="s">
        <v>0</v>
      </c>
      <c r="E1108" s="327" t="e">
        <f>#REF!</f>
        <v>#REF!</v>
      </c>
      <c r="F1108" s="328" t="e">
        <f t="shared" si="388"/>
        <v>#REF!</v>
      </c>
      <c r="G1108" s="329"/>
    </row>
    <row r="1109" spans="2:7">
      <c r="B1109" s="330" t="s">
        <v>38</v>
      </c>
      <c r="C1109" s="325" t="e">
        <f>C1108*2</f>
        <v>#REF!</v>
      </c>
      <c r="D1109" s="326" t="s">
        <v>30</v>
      </c>
      <c r="E1109" s="327" t="e">
        <f>#REF!</f>
        <v>#REF!</v>
      </c>
      <c r="F1109" s="328" t="e">
        <f t="shared" si="388"/>
        <v>#REF!</v>
      </c>
      <c r="G1109" s="329"/>
    </row>
    <row r="1110" spans="2:7">
      <c r="B1110" s="330" t="s">
        <v>31</v>
      </c>
      <c r="C1110" s="325" t="e">
        <f>C1108</f>
        <v>#REF!</v>
      </c>
      <c r="D1110" s="326" t="s">
        <v>0</v>
      </c>
      <c r="E1110" s="327" t="e">
        <f>#REF!</f>
        <v>#REF!</v>
      </c>
      <c r="F1110" s="328" t="e">
        <f t="shared" si="388"/>
        <v>#REF!</v>
      </c>
      <c r="G1110" s="329"/>
    </row>
    <row r="1111" spans="2:7">
      <c r="B1111" s="330" t="s">
        <v>6</v>
      </c>
      <c r="C1111" s="325">
        <f>1/(0.2*0.2)</f>
        <v>24.999999999999996</v>
      </c>
      <c r="D1111" s="326" t="s">
        <v>36</v>
      </c>
      <c r="E1111" s="327" t="e">
        <f>#REF!</f>
        <v>#REF!</v>
      </c>
      <c r="F1111" s="328" t="e">
        <f t="shared" si="388"/>
        <v>#REF!</v>
      </c>
      <c r="G1111" s="329"/>
    </row>
    <row r="1112" spans="2:7">
      <c r="B1112" s="330" t="s">
        <v>670</v>
      </c>
      <c r="C1112" s="325">
        <f>(0.2+0.2)*C1111</f>
        <v>10</v>
      </c>
      <c r="D1112" s="326" t="s">
        <v>11</v>
      </c>
      <c r="E1112" s="327" t="e">
        <f>#REF!</f>
        <v>#REF!</v>
      </c>
      <c r="F1112" s="328" t="e">
        <f t="shared" si="388"/>
        <v>#REF!</v>
      </c>
      <c r="G1112" s="329"/>
    </row>
    <row r="1113" spans="2:7">
      <c r="B1113" s="330" t="s">
        <v>44</v>
      </c>
      <c r="C1113" s="325">
        <v>1</v>
      </c>
      <c r="D1113" s="326" t="s">
        <v>25</v>
      </c>
      <c r="E1113" s="327" t="e">
        <f>#REF!</f>
        <v>#REF!</v>
      </c>
      <c r="F1113" s="328"/>
      <c r="G1113" s="329"/>
    </row>
    <row r="1114" spans="2:7">
      <c r="B1114" s="330" t="s">
        <v>7</v>
      </c>
      <c r="C1114" s="325" t="e">
        <f>SUM(F1107:F1109)</f>
        <v>#REF!</v>
      </c>
      <c r="D1114" s="326" t="s">
        <v>8</v>
      </c>
      <c r="E1114" s="327" t="e">
        <f>#REF!</f>
        <v>#REF!</v>
      </c>
      <c r="F1114" s="328" t="e">
        <f t="shared" si="388"/>
        <v>#REF!</v>
      </c>
      <c r="G1114" s="329" t="e">
        <f>SUM(F1107:F1114)</f>
        <v>#REF!</v>
      </c>
    </row>
    <row r="1115" spans="2:7">
      <c r="B1115" s="1"/>
      <c r="C1115" s="153"/>
      <c r="D1115" s="2"/>
      <c r="E1115" s="5"/>
      <c r="F1115" s="3"/>
      <c r="G1115" s="4"/>
    </row>
    <row r="1117" spans="2:7">
      <c r="B1117" s="324" t="s">
        <v>889</v>
      </c>
      <c r="C1117" s="325"/>
      <c r="D1117" s="326"/>
      <c r="E1117" s="327"/>
      <c r="F1117" s="328"/>
      <c r="G1117" s="329"/>
    </row>
    <row r="1118" spans="2:7">
      <c r="B1118" s="330" t="s">
        <v>41</v>
      </c>
      <c r="C1118" s="325">
        <v>1.05</v>
      </c>
      <c r="D1118" s="326" t="s">
        <v>25</v>
      </c>
      <c r="E1118" s="327" t="e">
        <f>E1107</f>
        <v>#REF!</v>
      </c>
      <c r="F1118" s="328" t="e">
        <f t="shared" ref="F1118:F1125" si="389">C1118*E1118</f>
        <v>#REF!</v>
      </c>
      <c r="G1118" s="329"/>
    </row>
    <row r="1119" spans="2:7">
      <c r="B1119" s="330" t="s">
        <v>43</v>
      </c>
      <c r="C1119" s="325" t="e">
        <f>#REF!</f>
        <v>#REF!</v>
      </c>
      <c r="D1119" s="326" t="s">
        <v>0</v>
      </c>
      <c r="E1119" s="327" t="e">
        <f t="shared" ref="E1119:E1125" si="390">E1108</f>
        <v>#REF!</v>
      </c>
      <c r="F1119" s="328" t="e">
        <f t="shared" si="389"/>
        <v>#REF!</v>
      </c>
      <c r="G1119" s="329"/>
    </row>
    <row r="1120" spans="2:7">
      <c r="B1120" s="330" t="s">
        <v>38</v>
      </c>
      <c r="C1120" s="325" t="e">
        <f>C1119*2</f>
        <v>#REF!</v>
      </c>
      <c r="D1120" s="326" t="s">
        <v>30</v>
      </c>
      <c r="E1120" s="327" t="e">
        <f t="shared" si="390"/>
        <v>#REF!</v>
      </c>
      <c r="F1120" s="328" t="e">
        <f t="shared" si="389"/>
        <v>#REF!</v>
      </c>
      <c r="G1120" s="329"/>
    </row>
    <row r="1121" spans="1:7">
      <c r="B1121" s="330" t="s">
        <v>31</v>
      </c>
      <c r="C1121" s="325" t="e">
        <f>C1119</f>
        <v>#REF!</v>
      </c>
      <c r="D1121" s="326" t="s">
        <v>0</v>
      </c>
      <c r="E1121" s="327" t="e">
        <f t="shared" si="390"/>
        <v>#REF!</v>
      </c>
      <c r="F1121" s="328" t="e">
        <f t="shared" si="389"/>
        <v>#REF!</v>
      </c>
      <c r="G1121" s="329"/>
    </row>
    <row r="1122" spans="1:7">
      <c r="B1122" s="330" t="s">
        <v>45</v>
      </c>
      <c r="C1122" s="325">
        <f>1/(0.15*0.2)</f>
        <v>33.333333333333336</v>
      </c>
      <c r="D1122" s="326" t="s">
        <v>36</v>
      </c>
      <c r="E1122" s="327" t="e">
        <f t="shared" si="390"/>
        <v>#REF!</v>
      </c>
      <c r="F1122" s="328" t="e">
        <f t="shared" si="389"/>
        <v>#REF!</v>
      </c>
      <c r="G1122" s="329"/>
    </row>
    <row r="1123" spans="1:7">
      <c r="B1123" s="330" t="s">
        <v>670</v>
      </c>
      <c r="C1123" s="325">
        <f>(0.15+0.2)*C1122</f>
        <v>11.666666666666666</v>
      </c>
      <c r="D1123" s="326" t="s">
        <v>11</v>
      </c>
      <c r="E1123" s="327" t="e">
        <f t="shared" si="390"/>
        <v>#REF!</v>
      </c>
      <c r="F1123" s="328" t="e">
        <f t="shared" si="389"/>
        <v>#REF!</v>
      </c>
      <c r="G1123" s="329"/>
    </row>
    <row r="1124" spans="1:7">
      <c r="B1124" s="330" t="s">
        <v>44</v>
      </c>
      <c r="C1124" s="325">
        <v>1</v>
      </c>
      <c r="D1124" s="326" t="s">
        <v>25</v>
      </c>
      <c r="E1124" s="327" t="e">
        <f t="shared" si="390"/>
        <v>#REF!</v>
      </c>
      <c r="F1124" s="328"/>
      <c r="G1124" s="329"/>
    </row>
    <row r="1125" spans="1:7">
      <c r="B1125" s="330" t="s">
        <v>7</v>
      </c>
      <c r="C1125" s="325" t="e">
        <f>SUM(F1118:F1120)</f>
        <v>#REF!</v>
      </c>
      <c r="D1125" s="326" t="s">
        <v>8</v>
      </c>
      <c r="E1125" s="327" t="e">
        <f t="shared" si="390"/>
        <v>#REF!</v>
      </c>
      <c r="F1125" s="328" t="e">
        <f t="shared" si="389"/>
        <v>#REF!</v>
      </c>
      <c r="G1125" s="329" t="e">
        <f>SUM(F1118:F1125)</f>
        <v>#REF!</v>
      </c>
    </row>
    <row r="1126" spans="1:7">
      <c r="B1126" s="1"/>
      <c r="C1126" s="153"/>
      <c r="D1126" s="2"/>
      <c r="E1126" s="5"/>
      <c r="F1126" s="3"/>
      <c r="G1126" s="4"/>
    </row>
    <row r="1132" spans="1:7">
      <c r="A1132" s="211">
        <v>15</v>
      </c>
      <c r="B1132" s="401" t="s">
        <v>990</v>
      </c>
    </row>
    <row r="1133" spans="1:7">
      <c r="A1133" s="211">
        <v>15.01</v>
      </c>
      <c r="B1133" s="211" t="s">
        <v>921</v>
      </c>
      <c r="C1133" s="211">
        <v>77.599999999999994</v>
      </c>
      <c r="D1133" s="430" t="s">
        <v>479</v>
      </c>
      <c r="E1133" s="211">
        <v>2081.6840492145802</v>
      </c>
      <c r="F1133" s="211">
        <f>C1133*E1133</f>
        <v>161538.68221905141</v>
      </c>
    </row>
    <row r="1134" spans="1:7">
      <c r="A1134" s="211">
        <v>15.02</v>
      </c>
      <c r="B1134" s="211" t="s">
        <v>989</v>
      </c>
      <c r="C1134" s="211">
        <v>4.2768000000000006</v>
      </c>
      <c r="D1134" s="430" t="s">
        <v>651</v>
      </c>
      <c r="E1134" s="211">
        <v>22505.495870125003</v>
      </c>
      <c r="F1134" s="211">
        <f t="shared" ref="F1134:F1144" si="391">C1134*E1134</f>
        <v>96251.504737350624</v>
      </c>
    </row>
    <row r="1135" spans="1:7">
      <c r="A1135" s="211">
        <v>15.02</v>
      </c>
      <c r="B1135" s="211" t="s">
        <v>3</v>
      </c>
      <c r="C1135" s="211">
        <v>10.96</v>
      </c>
      <c r="D1135" s="430" t="s">
        <v>438</v>
      </c>
      <c r="E1135" s="211">
        <v>1235.8099999999997</v>
      </c>
      <c r="F1135" s="211">
        <f t="shared" si="391"/>
        <v>13544.477599999998</v>
      </c>
    </row>
    <row r="1136" spans="1:7">
      <c r="A1136" s="211">
        <v>15.03</v>
      </c>
      <c r="B1136" s="211" t="s">
        <v>887</v>
      </c>
      <c r="C1136" s="211">
        <v>97.039999999999992</v>
      </c>
      <c r="D1136" s="430" t="s">
        <v>438</v>
      </c>
      <c r="E1136" s="211">
        <v>125.82370457166</v>
      </c>
      <c r="F1136" s="211">
        <f t="shared" si="391"/>
        <v>12209.932291633886</v>
      </c>
    </row>
    <row r="1137" spans="1:10">
      <c r="A1137" s="211">
        <v>15.04</v>
      </c>
      <c r="B1137" s="211" t="s">
        <v>884</v>
      </c>
      <c r="C1137" s="211">
        <v>25.208000000000002</v>
      </c>
      <c r="D1137" s="430" t="s">
        <v>438</v>
      </c>
      <c r="E1137" s="211">
        <v>515.04</v>
      </c>
      <c r="F1137" s="211">
        <f t="shared" si="391"/>
        <v>12983.12832</v>
      </c>
    </row>
    <row r="1138" spans="1:10">
      <c r="A1138" s="211">
        <v>15.049999999999999</v>
      </c>
      <c r="B1138" s="211" t="s">
        <v>657</v>
      </c>
      <c r="C1138" s="211">
        <v>97.039999999999992</v>
      </c>
      <c r="D1138" s="430" t="s">
        <v>438</v>
      </c>
      <c r="E1138" s="211">
        <v>386.9</v>
      </c>
      <c r="F1138" s="211">
        <f t="shared" si="391"/>
        <v>37544.775999999998</v>
      </c>
    </row>
    <row r="1139" spans="1:10">
      <c r="A1139" s="211">
        <v>15.059999999999999</v>
      </c>
      <c r="B1139" s="211" t="s">
        <v>35</v>
      </c>
      <c r="C1139" s="211">
        <v>199.04000000000002</v>
      </c>
      <c r="D1139" s="430" t="s">
        <v>479</v>
      </c>
      <c r="E1139" s="211">
        <v>102.31</v>
      </c>
      <c r="F1139" s="211">
        <f t="shared" si="391"/>
        <v>20363.782400000004</v>
      </c>
    </row>
    <row r="1140" spans="1:10">
      <c r="A1140" s="211">
        <v>15.069999999999999</v>
      </c>
      <c r="B1140" s="211" t="s">
        <v>665</v>
      </c>
      <c r="C1140" s="211">
        <v>102.80799999999999</v>
      </c>
      <c r="D1140" s="430" t="s">
        <v>438</v>
      </c>
      <c r="E1140" s="211">
        <v>128.31</v>
      </c>
      <c r="F1140" s="211">
        <f t="shared" si="391"/>
        <v>13191.294479999999</v>
      </c>
    </row>
    <row r="1141" spans="1:10">
      <c r="A1141" s="211">
        <v>15.079999999999998</v>
      </c>
      <c r="B1141" s="211" t="s">
        <v>885</v>
      </c>
      <c r="C1141" s="211">
        <v>102.80799999999999</v>
      </c>
      <c r="D1141" s="430" t="s">
        <v>438</v>
      </c>
      <c r="E1141" s="211">
        <v>202.11999999999998</v>
      </c>
      <c r="F1141" s="211">
        <f t="shared" si="391"/>
        <v>20779.552959999997</v>
      </c>
    </row>
    <row r="1142" spans="1:10">
      <c r="A1142" s="211">
        <v>15.089999999999998</v>
      </c>
      <c r="B1142" s="211" t="s">
        <v>737</v>
      </c>
      <c r="C1142" s="211">
        <v>38.799999999999997</v>
      </c>
      <c r="D1142" s="430" t="s">
        <v>438</v>
      </c>
      <c r="F1142" s="211">
        <f t="shared" si="391"/>
        <v>0</v>
      </c>
    </row>
    <row r="1143" spans="1:10">
      <c r="A1143" s="211">
        <v>15.099999999999998</v>
      </c>
      <c r="B1143" s="211" t="s">
        <v>886</v>
      </c>
      <c r="C1143" s="211">
        <v>77.599999999999994</v>
      </c>
      <c r="D1143" s="430" t="s">
        <v>479</v>
      </c>
      <c r="F1143" s="211">
        <f t="shared" si="391"/>
        <v>0</v>
      </c>
    </row>
    <row r="1144" spans="1:10">
      <c r="A1144" s="211">
        <v>15.109999999999998</v>
      </c>
      <c r="B1144" s="211" t="s">
        <v>739</v>
      </c>
      <c r="C1144" s="211">
        <v>38.799999999999997</v>
      </c>
      <c r="D1144" s="430" t="s">
        <v>438</v>
      </c>
      <c r="F1144" s="211">
        <f t="shared" si="391"/>
        <v>0</v>
      </c>
      <c r="G1144" s="211">
        <v>448185.88999999996</v>
      </c>
      <c r="H1144" s="211">
        <f>SUM(F1133:F1144)</f>
        <v>388407.13100803597</v>
      </c>
    </row>
    <row r="1145" spans="1:10">
      <c r="H1145" s="402">
        <f>H1144/C1133</f>
        <v>5005.2465336087116</v>
      </c>
      <c r="I1145" s="404">
        <v>6000</v>
      </c>
      <c r="J1145" s="401" t="s">
        <v>993</v>
      </c>
    </row>
    <row r="1147" spans="1:10">
      <c r="A1147" s="211">
        <v>27</v>
      </c>
      <c r="B1147" s="401" t="s">
        <v>991</v>
      </c>
    </row>
    <row r="1148" spans="1:10">
      <c r="A1148" s="211">
        <v>27.01</v>
      </c>
      <c r="B1148" s="211" t="s">
        <v>921</v>
      </c>
      <c r="C1148" s="211">
        <v>77.599999999999994</v>
      </c>
      <c r="D1148" s="430" t="s">
        <v>479</v>
      </c>
      <c r="E1148" s="211">
        <v>2097.0680692235178</v>
      </c>
      <c r="F1148" s="211">
        <v>162732.48000000001</v>
      </c>
    </row>
    <row r="1149" spans="1:10">
      <c r="A1149" s="211">
        <v>27.020000000000003</v>
      </c>
      <c r="B1149" s="211" t="s">
        <v>989</v>
      </c>
      <c r="C1149" s="211">
        <v>4.4176000000000011</v>
      </c>
      <c r="D1149" s="430" t="s">
        <v>651</v>
      </c>
      <c r="E1149" s="211">
        <v>22662.993689537503</v>
      </c>
      <c r="F1149" s="211">
        <v>100116.04</v>
      </c>
    </row>
    <row r="1150" spans="1:10">
      <c r="A1150" s="211">
        <v>27.020000000000003</v>
      </c>
      <c r="B1150" s="211" t="s">
        <v>3</v>
      </c>
      <c r="C1150" s="211">
        <v>16.440000000000001</v>
      </c>
      <c r="D1150" s="430" t="s">
        <v>438</v>
      </c>
      <c r="E1150" s="211">
        <v>1270.6499999999999</v>
      </c>
      <c r="F1150" s="211">
        <v>20889.490000000002</v>
      </c>
    </row>
    <row r="1151" spans="1:10">
      <c r="A1151" s="211">
        <v>27.030000000000005</v>
      </c>
      <c r="B1151" s="211" t="s">
        <v>887</v>
      </c>
      <c r="C1151" s="211">
        <v>97.679999999999993</v>
      </c>
      <c r="D1151" s="430" t="s">
        <v>438</v>
      </c>
      <c r="E1151" s="211">
        <v>125.82370457166</v>
      </c>
      <c r="F1151" s="211">
        <v>12290.46</v>
      </c>
    </row>
    <row r="1152" spans="1:10">
      <c r="A1152" s="211">
        <v>27.040000000000006</v>
      </c>
      <c r="B1152" s="211" t="s">
        <v>884</v>
      </c>
      <c r="C1152" s="211">
        <v>37.812000000000005</v>
      </c>
      <c r="D1152" s="430" t="s">
        <v>438</v>
      </c>
      <c r="E1152" s="211">
        <v>539.98000000000013</v>
      </c>
      <c r="F1152" s="211">
        <v>20417.72</v>
      </c>
    </row>
    <row r="1153" spans="1:8">
      <c r="A1153" s="211">
        <v>27.050000000000008</v>
      </c>
      <c r="B1153" s="211" t="s">
        <v>657</v>
      </c>
      <c r="C1153" s="211">
        <v>97.679999999999993</v>
      </c>
      <c r="D1153" s="430" t="s">
        <v>438</v>
      </c>
      <c r="E1153" s="211">
        <v>392.21999999999997</v>
      </c>
      <c r="F1153" s="211">
        <v>38312.050000000003</v>
      </c>
    </row>
    <row r="1154" spans="1:8">
      <c r="A1154" s="211">
        <v>27.060000000000009</v>
      </c>
      <c r="B1154" s="211" t="s">
        <v>35</v>
      </c>
      <c r="C1154" s="211">
        <v>220.96</v>
      </c>
      <c r="D1154" s="430" t="s">
        <v>479</v>
      </c>
      <c r="E1154" s="211">
        <v>104.58</v>
      </c>
      <c r="F1154" s="211">
        <v>23108</v>
      </c>
    </row>
    <row r="1155" spans="1:8">
      <c r="A1155" s="211">
        <v>27.070000000000011</v>
      </c>
      <c r="B1155" s="211" t="s">
        <v>665</v>
      </c>
      <c r="C1155" s="211">
        <v>115.41200000000001</v>
      </c>
      <c r="D1155" s="430" t="s">
        <v>438</v>
      </c>
      <c r="E1155" s="211">
        <v>129.71</v>
      </c>
      <c r="F1155" s="211">
        <v>14970.09</v>
      </c>
    </row>
    <row r="1156" spans="1:8">
      <c r="A1156" s="211">
        <v>27.080000000000013</v>
      </c>
      <c r="B1156" s="211" t="s">
        <v>885</v>
      </c>
      <c r="C1156" s="211">
        <v>115.41200000000001</v>
      </c>
      <c r="D1156" s="430" t="s">
        <v>438</v>
      </c>
      <c r="E1156" s="211">
        <v>209.64999999999998</v>
      </c>
      <c r="F1156" s="211">
        <v>24196.13</v>
      </c>
    </row>
    <row r="1157" spans="1:8">
      <c r="A1157" s="211">
        <v>27.090000000000014</v>
      </c>
      <c r="B1157" s="211" t="s">
        <v>737</v>
      </c>
      <c r="C1157" s="211">
        <v>38.799999999999997</v>
      </c>
      <c r="D1157" s="430" t="s">
        <v>438</v>
      </c>
      <c r="F1157" s="211">
        <v>23356.05</v>
      </c>
    </row>
    <row r="1158" spans="1:8">
      <c r="A1158" s="211">
        <v>27.100000000000016</v>
      </c>
      <c r="B1158" s="211" t="s">
        <v>886</v>
      </c>
      <c r="C1158" s="211">
        <v>77.599999999999994</v>
      </c>
      <c r="D1158" s="430" t="s">
        <v>479</v>
      </c>
      <c r="F1158" s="211">
        <v>10091.1</v>
      </c>
    </row>
    <row r="1159" spans="1:8">
      <c r="A1159" s="211">
        <v>27.110000000000017</v>
      </c>
      <c r="B1159" s="211" t="s">
        <v>739</v>
      </c>
      <c r="C1159" s="211">
        <v>38.799999999999997</v>
      </c>
      <c r="D1159" s="430" t="s">
        <v>438</v>
      </c>
      <c r="F1159" s="211">
        <v>27215.48</v>
      </c>
      <c r="G1159" s="211">
        <v>477695.09</v>
      </c>
      <c r="H1159" s="402">
        <f>G1159/C1148</f>
        <v>6155.8645618556711</v>
      </c>
    </row>
  </sheetData>
  <pageMargins left="0.25" right="0.25" top="0.5" bottom="0.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5"/>
  <sheetViews>
    <sheetView view="pageBreakPreview" topLeftCell="A100" zoomScaleNormal="100" zoomScaleSheetLayoutView="100" workbookViewId="0">
      <selection activeCell="E131" sqref="E131"/>
    </sheetView>
  </sheetViews>
  <sheetFormatPr baseColWidth="10" defaultColWidth="9.140625" defaultRowHeight="15"/>
  <cols>
    <col min="1" max="1" width="6.7109375" style="163" customWidth="1"/>
    <col min="2" max="2" width="67.28515625" style="148" customWidth="1"/>
    <col min="3" max="3" width="11.7109375" style="149" customWidth="1"/>
    <col min="4" max="4" width="5.140625" style="150" customWidth="1"/>
    <col min="5" max="5" width="14.85546875" style="151" customWidth="1"/>
    <col min="6" max="6" width="16.5703125" style="151" customWidth="1"/>
    <col min="7" max="7" width="22" style="152" customWidth="1"/>
    <col min="8" max="8" width="15.140625" style="70" bestFit="1" customWidth="1"/>
    <col min="9" max="9" width="65.7109375" style="70" customWidth="1"/>
    <col min="10" max="10" width="16.5703125" style="70" customWidth="1"/>
    <col min="11" max="11" width="9.140625" style="70"/>
    <col min="12" max="12" width="13.85546875" style="70" customWidth="1"/>
    <col min="13" max="13" width="11.85546875" style="70" customWidth="1"/>
    <col min="14" max="256" width="9.140625" style="70"/>
    <col min="257" max="257" width="7.42578125" style="70" customWidth="1"/>
    <col min="258" max="258" width="77.42578125" style="70" customWidth="1"/>
    <col min="259" max="259" width="10.5703125" style="70" customWidth="1"/>
    <col min="260" max="260" width="5.140625" style="70" customWidth="1"/>
    <col min="261" max="261" width="13" style="70" customWidth="1"/>
    <col min="262" max="262" width="15.28515625" style="70" customWidth="1"/>
    <col min="263" max="263" width="21.28515625" style="70" customWidth="1"/>
    <col min="264" max="264" width="9.140625" style="70"/>
    <col min="265" max="265" width="26.28515625" style="70" customWidth="1"/>
    <col min="266" max="266" width="16.5703125" style="70" customWidth="1"/>
    <col min="267" max="267" width="9.140625" style="70"/>
    <col min="268" max="268" width="13.85546875" style="70" customWidth="1"/>
    <col min="269" max="512" width="9.140625" style="70"/>
    <col min="513" max="513" width="7.42578125" style="70" customWidth="1"/>
    <col min="514" max="514" width="77.42578125" style="70" customWidth="1"/>
    <col min="515" max="515" width="10.5703125" style="70" customWidth="1"/>
    <col min="516" max="516" width="5.140625" style="70" customWidth="1"/>
    <col min="517" max="517" width="13" style="70" customWidth="1"/>
    <col min="518" max="518" width="15.28515625" style="70" customWidth="1"/>
    <col min="519" max="519" width="21.28515625" style="70" customWidth="1"/>
    <col min="520" max="520" width="9.140625" style="70"/>
    <col min="521" max="521" width="26.28515625" style="70" customWidth="1"/>
    <col min="522" max="522" width="16.5703125" style="70" customWidth="1"/>
    <col min="523" max="523" width="9.140625" style="70"/>
    <col min="524" max="524" width="13.85546875" style="70" customWidth="1"/>
    <col min="525" max="768" width="9.140625" style="70"/>
    <col min="769" max="769" width="7.42578125" style="70" customWidth="1"/>
    <col min="770" max="770" width="77.42578125" style="70" customWidth="1"/>
    <col min="771" max="771" width="10.5703125" style="70" customWidth="1"/>
    <col min="772" max="772" width="5.140625" style="70" customWidth="1"/>
    <col min="773" max="773" width="13" style="70" customWidth="1"/>
    <col min="774" max="774" width="15.28515625" style="70" customWidth="1"/>
    <col min="775" max="775" width="21.28515625" style="70" customWidth="1"/>
    <col min="776" max="776" width="9.140625" style="70"/>
    <col min="777" max="777" width="26.28515625" style="70" customWidth="1"/>
    <col min="778" max="778" width="16.5703125" style="70" customWidth="1"/>
    <col min="779" max="779" width="9.140625" style="70"/>
    <col min="780" max="780" width="13.85546875" style="70" customWidth="1"/>
    <col min="781" max="1024" width="9.140625" style="70"/>
    <col min="1025" max="1025" width="7.42578125" style="70" customWidth="1"/>
    <col min="1026" max="1026" width="77.42578125" style="70" customWidth="1"/>
    <col min="1027" max="1027" width="10.5703125" style="70" customWidth="1"/>
    <col min="1028" max="1028" width="5.140625" style="70" customWidth="1"/>
    <col min="1029" max="1029" width="13" style="70" customWidth="1"/>
    <col min="1030" max="1030" width="15.28515625" style="70" customWidth="1"/>
    <col min="1031" max="1031" width="21.28515625" style="70" customWidth="1"/>
    <col min="1032" max="1032" width="9.140625" style="70"/>
    <col min="1033" max="1033" width="26.28515625" style="70" customWidth="1"/>
    <col min="1034" max="1034" width="16.5703125" style="70" customWidth="1"/>
    <col min="1035" max="1035" width="9.140625" style="70"/>
    <col min="1036" max="1036" width="13.85546875" style="70" customWidth="1"/>
    <col min="1037" max="1280" width="9.140625" style="70"/>
    <col min="1281" max="1281" width="7.42578125" style="70" customWidth="1"/>
    <col min="1282" max="1282" width="77.42578125" style="70" customWidth="1"/>
    <col min="1283" max="1283" width="10.5703125" style="70" customWidth="1"/>
    <col min="1284" max="1284" width="5.140625" style="70" customWidth="1"/>
    <col min="1285" max="1285" width="13" style="70" customWidth="1"/>
    <col min="1286" max="1286" width="15.28515625" style="70" customWidth="1"/>
    <col min="1287" max="1287" width="21.28515625" style="70" customWidth="1"/>
    <col min="1288" max="1288" width="9.140625" style="70"/>
    <col min="1289" max="1289" width="26.28515625" style="70" customWidth="1"/>
    <col min="1290" max="1290" width="16.5703125" style="70" customWidth="1"/>
    <col min="1291" max="1291" width="9.140625" style="70"/>
    <col min="1292" max="1292" width="13.85546875" style="70" customWidth="1"/>
    <col min="1293" max="1536" width="9.140625" style="70"/>
    <col min="1537" max="1537" width="7.42578125" style="70" customWidth="1"/>
    <col min="1538" max="1538" width="77.42578125" style="70" customWidth="1"/>
    <col min="1539" max="1539" width="10.5703125" style="70" customWidth="1"/>
    <col min="1540" max="1540" width="5.140625" style="70" customWidth="1"/>
    <col min="1541" max="1541" width="13" style="70" customWidth="1"/>
    <col min="1542" max="1542" width="15.28515625" style="70" customWidth="1"/>
    <col min="1543" max="1543" width="21.28515625" style="70" customWidth="1"/>
    <col min="1544" max="1544" width="9.140625" style="70"/>
    <col min="1545" max="1545" width="26.28515625" style="70" customWidth="1"/>
    <col min="1546" max="1546" width="16.5703125" style="70" customWidth="1"/>
    <col min="1547" max="1547" width="9.140625" style="70"/>
    <col min="1548" max="1548" width="13.85546875" style="70" customWidth="1"/>
    <col min="1549" max="1792" width="9.140625" style="70"/>
    <col min="1793" max="1793" width="7.42578125" style="70" customWidth="1"/>
    <col min="1794" max="1794" width="77.42578125" style="70" customWidth="1"/>
    <col min="1795" max="1795" width="10.5703125" style="70" customWidth="1"/>
    <col min="1796" max="1796" width="5.140625" style="70" customWidth="1"/>
    <col min="1797" max="1797" width="13" style="70" customWidth="1"/>
    <col min="1798" max="1798" width="15.28515625" style="70" customWidth="1"/>
    <col min="1799" max="1799" width="21.28515625" style="70" customWidth="1"/>
    <col min="1800" max="1800" width="9.140625" style="70"/>
    <col min="1801" max="1801" width="26.28515625" style="70" customWidth="1"/>
    <col min="1802" max="1802" width="16.5703125" style="70" customWidth="1"/>
    <col min="1803" max="1803" width="9.140625" style="70"/>
    <col min="1804" max="1804" width="13.85546875" style="70" customWidth="1"/>
    <col min="1805" max="2048" width="9.140625" style="70"/>
    <col min="2049" max="2049" width="7.42578125" style="70" customWidth="1"/>
    <col min="2050" max="2050" width="77.42578125" style="70" customWidth="1"/>
    <col min="2051" max="2051" width="10.5703125" style="70" customWidth="1"/>
    <col min="2052" max="2052" width="5.140625" style="70" customWidth="1"/>
    <col min="2053" max="2053" width="13" style="70" customWidth="1"/>
    <col min="2054" max="2054" width="15.28515625" style="70" customWidth="1"/>
    <col min="2055" max="2055" width="21.28515625" style="70" customWidth="1"/>
    <col min="2056" max="2056" width="9.140625" style="70"/>
    <col min="2057" max="2057" width="26.28515625" style="70" customWidth="1"/>
    <col min="2058" max="2058" width="16.5703125" style="70" customWidth="1"/>
    <col min="2059" max="2059" width="9.140625" style="70"/>
    <col min="2060" max="2060" width="13.85546875" style="70" customWidth="1"/>
    <col min="2061" max="2304" width="9.140625" style="70"/>
    <col min="2305" max="2305" width="7.42578125" style="70" customWidth="1"/>
    <col min="2306" max="2306" width="77.42578125" style="70" customWidth="1"/>
    <col min="2307" max="2307" width="10.5703125" style="70" customWidth="1"/>
    <col min="2308" max="2308" width="5.140625" style="70" customWidth="1"/>
    <col min="2309" max="2309" width="13" style="70" customWidth="1"/>
    <col min="2310" max="2310" width="15.28515625" style="70" customWidth="1"/>
    <col min="2311" max="2311" width="21.28515625" style="70" customWidth="1"/>
    <col min="2312" max="2312" width="9.140625" style="70"/>
    <col min="2313" max="2313" width="26.28515625" style="70" customWidth="1"/>
    <col min="2314" max="2314" width="16.5703125" style="70" customWidth="1"/>
    <col min="2315" max="2315" width="9.140625" style="70"/>
    <col min="2316" max="2316" width="13.85546875" style="70" customWidth="1"/>
    <col min="2317" max="2560" width="9.140625" style="70"/>
    <col min="2561" max="2561" width="7.42578125" style="70" customWidth="1"/>
    <col min="2562" max="2562" width="77.42578125" style="70" customWidth="1"/>
    <col min="2563" max="2563" width="10.5703125" style="70" customWidth="1"/>
    <col min="2564" max="2564" width="5.140625" style="70" customWidth="1"/>
    <col min="2565" max="2565" width="13" style="70" customWidth="1"/>
    <col min="2566" max="2566" width="15.28515625" style="70" customWidth="1"/>
    <col min="2567" max="2567" width="21.28515625" style="70" customWidth="1"/>
    <col min="2568" max="2568" width="9.140625" style="70"/>
    <col min="2569" max="2569" width="26.28515625" style="70" customWidth="1"/>
    <col min="2570" max="2570" width="16.5703125" style="70" customWidth="1"/>
    <col min="2571" max="2571" width="9.140625" style="70"/>
    <col min="2572" max="2572" width="13.85546875" style="70" customWidth="1"/>
    <col min="2573" max="2816" width="9.140625" style="70"/>
    <col min="2817" max="2817" width="7.42578125" style="70" customWidth="1"/>
    <col min="2818" max="2818" width="77.42578125" style="70" customWidth="1"/>
    <col min="2819" max="2819" width="10.5703125" style="70" customWidth="1"/>
    <col min="2820" max="2820" width="5.140625" style="70" customWidth="1"/>
    <col min="2821" max="2821" width="13" style="70" customWidth="1"/>
    <col min="2822" max="2822" width="15.28515625" style="70" customWidth="1"/>
    <col min="2823" max="2823" width="21.28515625" style="70" customWidth="1"/>
    <col min="2824" max="2824" width="9.140625" style="70"/>
    <col min="2825" max="2825" width="26.28515625" style="70" customWidth="1"/>
    <col min="2826" max="2826" width="16.5703125" style="70" customWidth="1"/>
    <col min="2827" max="2827" width="9.140625" style="70"/>
    <col min="2828" max="2828" width="13.85546875" style="70" customWidth="1"/>
    <col min="2829" max="3072" width="9.140625" style="70"/>
    <col min="3073" max="3073" width="7.42578125" style="70" customWidth="1"/>
    <col min="3074" max="3074" width="77.42578125" style="70" customWidth="1"/>
    <col min="3075" max="3075" width="10.5703125" style="70" customWidth="1"/>
    <col min="3076" max="3076" width="5.140625" style="70" customWidth="1"/>
    <col min="3077" max="3077" width="13" style="70" customWidth="1"/>
    <col min="3078" max="3078" width="15.28515625" style="70" customWidth="1"/>
    <col min="3079" max="3079" width="21.28515625" style="70" customWidth="1"/>
    <col min="3080" max="3080" width="9.140625" style="70"/>
    <col min="3081" max="3081" width="26.28515625" style="70" customWidth="1"/>
    <col min="3082" max="3082" width="16.5703125" style="70" customWidth="1"/>
    <col min="3083" max="3083" width="9.140625" style="70"/>
    <col min="3084" max="3084" width="13.85546875" style="70" customWidth="1"/>
    <col min="3085" max="3328" width="9.140625" style="70"/>
    <col min="3329" max="3329" width="7.42578125" style="70" customWidth="1"/>
    <col min="3330" max="3330" width="77.42578125" style="70" customWidth="1"/>
    <col min="3331" max="3331" width="10.5703125" style="70" customWidth="1"/>
    <col min="3332" max="3332" width="5.140625" style="70" customWidth="1"/>
    <col min="3333" max="3333" width="13" style="70" customWidth="1"/>
    <col min="3334" max="3334" width="15.28515625" style="70" customWidth="1"/>
    <col min="3335" max="3335" width="21.28515625" style="70" customWidth="1"/>
    <col min="3336" max="3336" width="9.140625" style="70"/>
    <col min="3337" max="3337" width="26.28515625" style="70" customWidth="1"/>
    <col min="3338" max="3338" width="16.5703125" style="70" customWidth="1"/>
    <col min="3339" max="3339" width="9.140625" style="70"/>
    <col min="3340" max="3340" width="13.85546875" style="70" customWidth="1"/>
    <col min="3341" max="3584" width="9.140625" style="70"/>
    <col min="3585" max="3585" width="7.42578125" style="70" customWidth="1"/>
    <col min="3586" max="3586" width="77.42578125" style="70" customWidth="1"/>
    <col min="3587" max="3587" width="10.5703125" style="70" customWidth="1"/>
    <col min="3588" max="3588" width="5.140625" style="70" customWidth="1"/>
    <col min="3589" max="3589" width="13" style="70" customWidth="1"/>
    <col min="3590" max="3590" width="15.28515625" style="70" customWidth="1"/>
    <col min="3591" max="3591" width="21.28515625" style="70" customWidth="1"/>
    <col min="3592" max="3592" width="9.140625" style="70"/>
    <col min="3593" max="3593" width="26.28515625" style="70" customWidth="1"/>
    <col min="3594" max="3594" width="16.5703125" style="70" customWidth="1"/>
    <col min="3595" max="3595" width="9.140625" style="70"/>
    <col min="3596" max="3596" width="13.85546875" style="70" customWidth="1"/>
    <col min="3597" max="3840" width="9.140625" style="70"/>
    <col min="3841" max="3841" width="7.42578125" style="70" customWidth="1"/>
    <col min="3842" max="3842" width="77.42578125" style="70" customWidth="1"/>
    <col min="3843" max="3843" width="10.5703125" style="70" customWidth="1"/>
    <col min="3844" max="3844" width="5.140625" style="70" customWidth="1"/>
    <col min="3845" max="3845" width="13" style="70" customWidth="1"/>
    <col min="3846" max="3846" width="15.28515625" style="70" customWidth="1"/>
    <col min="3847" max="3847" width="21.28515625" style="70" customWidth="1"/>
    <col min="3848" max="3848" width="9.140625" style="70"/>
    <col min="3849" max="3849" width="26.28515625" style="70" customWidth="1"/>
    <col min="3850" max="3850" width="16.5703125" style="70" customWidth="1"/>
    <col min="3851" max="3851" width="9.140625" style="70"/>
    <col min="3852" max="3852" width="13.85546875" style="70" customWidth="1"/>
    <col min="3853" max="4096" width="9.140625" style="70"/>
    <col min="4097" max="4097" width="7.42578125" style="70" customWidth="1"/>
    <col min="4098" max="4098" width="77.42578125" style="70" customWidth="1"/>
    <col min="4099" max="4099" width="10.5703125" style="70" customWidth="1"/>
    <col min="4100" max="4100" width="5.140625" style="70" customWidth="1"/>
    <col min="4101" max="4101" width="13" style="70" customWidth="1"/>
    <col min="4102" max="4102" width="15.28515625" style="70" customWidth="1"/>
    <col min="4103" max="4103" width="21.28515625" style="70" customWidth="1"/>
    <col min="4104" max="4104" width="9.140625" style="70"/>
    <col min="4105" max="4105" width="26.28515625" style="70" customWidth="1"/>
    <col min="4106" max="4106" width="16.5703125" style="70" customWidth="1"/>
    <col min="4107" max="4107" width="9.140625" style="70"/>
    <col min="4108" max="4108" width="13.85546875" style="70" customWidth="1"/>
    <col min="4109" max="4352" width="9.140625" style="70"/>
    <col min="4353" max="4353" width="7.42578125" style="70" customWidth="1"/>
    <col min="4354" max="4354" width="77.42578125" style="70" customWidth="1"/>
    <col min="4355" max="4355" width="10.5703125" style="70" customWidth="1"/>
    <col min="4356" max="4356" width="5.140625" style="70" customWidth="1"/>
    <col min="4357" max="4357" width="13" style="70" customWidth="1"/>
    <col min="4358" max="4358" width="15.28515625" style="70" customWidth="1"/>
    <col min="4359" max="4359" width="21.28515625" style="70" customWidth="1"/>
    <col min="4360" max="4360" width="9.140625" style="70"/>
    <col min="4361" max="4361" width="26.28515625" style="70" customWidth="1"/>
    <col min="4362" max="4362" width="16.5703125" style="70" customWidth="1"/>
    <col min="4363" max="4363" width="9.140625" style="70"/>
    <col min="4364" max="4364" width="13.85546875" style="70" customWidth="1"/>
    <col min="4365" max="4608" width="9.140625" style="70"/>
    <col min="4609" max="4609" width="7.42578125" style="70" customWidth="1"/>
    <col min="4610" max="4610" width="77.42578125" style="70" customWidth="1"/>
    <col min="4611" max="4611" width="10.5703125" style="70" customWidth="1"/>
    <col min="4612" max="4612" width="5.140625" style="70" customWidth="1"/>
    <col min="4613" max="4613" width="13" style="70" customWidth="1"/>
    <col min="4614" max="4614" width="15.28515625" style="70" customWidth="1"/>
    <col min="4615" max="4615" width="21.28515625" style="70" customWidth="1"/>
    <col min="4616" max="4616" width="9.140625" style="70"/>
    <col min="4617" max="4617" width="26.28515625" style="70" customWidth="1"/>
    <col min="4618" max="4618" width="16.5703125" style="70" customWidth="1"/>
    <col min="4619" max="4619" width="9.140625" style="70"/>
    <col min="4620" max="4620" width="13.85546875" style="70" customWidth="1"/>
    <col min="4621" max="4864" width="9.140625" style="70"/>
    <col min="4865" max="4865" width="7.42578125" style="70" customWidth="1"/>
    <col min="4866" max="4866" width="77.42578125" style="70" customWidth="1"/>
    <col min="4867" max="4867" width="10.5703125" style="70" customWidth="1"/>
    <col min="4868" max="4868" width="5.140625" style="70" customWidth="1"/>
    <col min="4869" max="4869" width="13" style="70" customWidth="1"/>
    <col min="4870" max="4870" width="15.28515625" style="70" customWidth="1"/>
    <col min="4871" max="4871" width="21.28515625" style="70" customWidth="1"/>
    <col min="4872" max="4872" width="9.140625" style="70"/>
    <col min="4873" max="4873" width="26.28515625" style="70" customWidth="1"/>
    <col min="4874" max="4874" width="16.5703125" style="70" customWidth="1"/>
    <col min="4875" max="4875" width="9.140625" style="70"/>
    <col min="4876" max="4876" width="13.85546875" style="70" customWidth="1"/>
    <col min="4877" max="5120" width="9.140625" style="70"/>
    <col min="5121" max="5121" width="7.42578125" style="70" customWidth="1"/>
    <col min="5122" max="5122" width="77.42578125" style="70" customWidth="1"/>
    <col min="5123" max="5123" width="10.5703125" style="70" customWidth="1"/>
    <col min="5124" max="5124" width="5.140625" style="70" customWidth="1"/>
    <col min="5125" max="5125" width="13" style="70" customWidth="1"/>
    <col min="5126" max="5126" width="15.28515625" style="70" customWidth="1"/>
    <col min="5127" max="5127" width="21.28515625" style="70" customWidth="1"/>
    <col min="5128" max="5128" width="9.140625" style="70"/>
    <col min="5129" max="5129" width="26.28515625" style="70" customWidth="1"/>
    <col min="5130" max="5130" width="16.5703125" style="70" customWidth="1"/>
    <col min="5131" max="5131" width="9.140625" style="70"/>
    <col min="5132" max="5132" width="13.85546875" style="70" customWidth="1"/>
    <col min="5133" max="5376" width="9.140625" style="70"/>
    <col min="5377" max="5377" width="7.42578125" style="70" customWidth="1"/>
    <col min="5378" max="5378" width="77.42578125" style="70" customWidth="1"/>
    <col min="5379" max="5379" width="10.5703125" style="70" customWidth="1"/>
    <col min="5380" max="5380" width="5.140625" style="70" customWidth="1"/>
    <col min="5381" max="5381" width="13" style="70" customWidth="1"/>
    <col min="5382" max="5382" width="15.28515625" style="70" customWidth="1"/>
    <col min="5383" max="5383" width="21.28515625" style="70" customWidth="1"/>
    <col min="5384" max="5384" width="9.140625" style="70"/>
    <col min="5385" max="5385" width="26.28515625" style="70" customWidth="1"/>
    <col min="5386" max="5386" width="16.5703125" style="70" customWidth="1"/>
    <col min="5387" max="5387" width="9.140625" style="70"/>
    <col min="5388" max="5388" width="13.85546875" style="70" customWidth="1"/>
    <col min="5389" max="5632" width="9.140625" style="70"/>
    <col min="5633" max="5633" width="7.42578125" style="70" customWidth="1"/>
    <col min="5634" max="5634" width="77.42578125" style="70" customWidth="1"/>
    <col min="5635" max="5635" width="10.5703125" style="70" customWidth="1"/>
    <col min="5636" max="5636" width="5.140625" style="70" customWidth="1"/>
    <col min="5637" max="5637" width="13" style="70" customWidth="1"/>
    <col min="5638" max="5638" width="15.28515625" style="70" customWidth="1"/>
    <col min="5639" max="5639" width="21.28515625" style="70" customWidth="1"/>
    <col min="5640" max="5640" width="9.140625" style="70"/>
    <col min="5641" max="5641" width="26.28515625" style="70" customWidth="1"/>
    <col min="5642" max="5642" width="16.5703125" style="70" customWidth="1"/>
    <col min="5643" max="5643" width="9.140625" style="70"/>
    <col min="5644" max="5644" width="13.85546875" style="70" customWidth="1"/>
    <col min="5645" max="5888" width="9.140625" style="70"/>
    <col min="5889" max="5889" width="7.42578125" style="70" customWidth="1"/>
    <col min="5890" max="5890" width="77.42578125" style="70" customWidth="1"/>
    <col min="5891" max="5891" width="10.5703125" style="70" customWidth="1"/>
    <col min="5892" max="5892" width="5.140625" style="70" customWidth="1"/>
    <col min="5893" max="5893" width="13" style="70" customWidth="1"/>
    <col min="5894" max="5894" width="15.28515625" style="70" customWidth="1"/>
    <col min="5895" max="5895" width="21.28515625" style="70" customWidth="1"/>
    <col min="5896" max="5896" width="9.140625" style="70"/>
    <col min="5897" max="5897" width="26.28515625" style="70" customWidth="1"/>
    <col min="5898" max="5898" width="16.5703125" style="70" customWidth="1"/>
    <col min="5899" max="5899" width="9.140625" style="70"/>
    <col min="5900" max="5900" width="13.85546875" style="70" customWidth="1"/>
    <col min="5901" max="6144" width="9.140625" style="70"/>
    <col min="6145" max="6145" width="7.42578125" style="70" customWidth="1"/>
    <col min="6146" max="6146" width="77.42578125" style="70" customWidth="1"/>
    <col min="6147" max="6147" width="10.5703125" style="70" customWidth="1"/>
    <col min="6148" max="6148" width="5.140625" style="70" customWidth="1"/>
    <col min="6149" max="6149" width="13" style="70" customWidth="1"/>
    <col min="6150" max="6150" width="15.28515625" style="70" customWidth="1"/>
    <col min="6151" max="6151" width="21.28515625" style="70" customWidth="1"/>
    <col min="6152" max="6152" width="9.140625" style="70"/>
    <col min="6153" max="6153" width="26.28515625" style="70" customWidth="1"/>
    <col min="6154" max="6154" width="16.5703125" style="70" customWidth="1"/>
    <col min="6155" max="6155" width="9.140625" style="70"/>
    <col min="6156" max="6156" width="13.85546875" style="70" customWidth="1"/>
    <col min="6157" max="6400" width="9.140625" style="70"/>
    <col min="6401" max="6401" width="7.42578125" style="70" customWidth="1"/>
    <col min="6402" max="6402" width="77.42578125" style="70" customWidth="1"/>
    <col min="6403" max="6403" width="10.5703125" style="70" customWidth="1"/>
    <col min="6404" max="6404" width="5.140625" style="70" customWidth="1"/>
    <col min="6405" max="6405" width="13" style="70" customWidth="1"/>
    <col min="6406" max="6406" width="15.28515625" style="70" customWidth="1"/>
    <col min="6407" max="6407" width="21.28515625" style="70" customWidth="1"/>
    <col min="6408" max="6408" width="9.140625" style="70"/>
    <col min="6409" max="6409" width="26.28515625" style="70" customWidth="1"/>
    <col min="6410" max="6410" width="16.5703125" style="70" customWidth="1"/>
    <col min="6411" max="6411" width="9.140625" style="70"/>
    <col min="6412" max="6412" width="13.85546875" style="70" customWidth="1"/>
    <col min="6413" max="6656" width="9.140625" style="70"/>
    <col min="6657" max="6657" width="7.42578125" style="70" customWidth="1"/>
    <col min="6658" max="6658" width="77.42578125" style="70" customWidth="1"/>
    <col min="6659" max="6659" width="10.5703125" style="70" customWidth="1"/>
    <col min="6660" max="6660" width="5.140625" style="70" customWidth="1"/>
    <col min="6661" max="6661" width="13" style="70" customWidth="1"/>
    <col min="6662" max="6662" width="15.28515625" style="70" customWidth="1"/>
    <col min="6663" max="6663" width="21.28515625" style="70" customWidth="1"/>
    <col min="6664" max="6664" width="9.140625" style="70"/>
    <col min="6665" max="6665" width="26.28515625" style="70" customWidth="1"/>
    <col min="6666" max="6666" width="16.5703125" style="70" customWidth="1"/>
    <col min="6667" max="6667" width="9.140625" style="70"/>
    <col min="6668" max="6668" width="13.85546875" style="70" customWidth="1"/>
    <col min="6669" max="6912" width="9.140625" style="70"/>
    <col min="6913" max="6913" width="7.42578125" style="70" customWidth="1"/>
    <col min="6914" max="6914" width="77.42578125" style="70" customWidth="1"/>
    <col min="6915" max="6915" width="10.5703125" style="70" customWidth="1"/>
    <col min="6916" max="6916" width="5.140625" style="70" customWidth="1"/>
    <col min="6917" max="6917" width="13" style="70" customWidth="1"/>
    <col min="6918" max="6918" width="15.28515625" style="70" customWidth="1"/>
    <col min="6919" max="6919" width="21.28515625" style="70" customWidth="1"/>
    <col min="6920" max="6920" width="9.140625" style="70"/>
    <col min="6921" max="6921" width="26.28515625" style="70" customWidth="1"/>
    <col min="6922" max="6922" width="16.5703125" style="70" customWidth="1"/>
    <col min="6923" max="6923" width="9.140625" style="70"/>
    <col min="6924" max="6924" width="13.85546875" style="70" customWidth="1"/>
    <col min="6925" max="7168" width="9.140625" style="70"/>
    <col min="7169" max="7169" width="7.42578125" style="70" customWidth="1"/>
    <col min="7170" max="7170" width="77.42578125" style="70" customWidth="1"/>
    <col min="7171" max="7171" width="10.5703125" style="70" customWidth="1"/>
    <col min="7172" max="7172" width="5.140625" style="70" customWidth="1"/>
    <col min="7173" max="7173" width="13" style="70" customWidth="1"/>
    <col min="7174" max="7174" width="15.28515625" style="70" customWidth="1"/>
    <col min="7175" max="7175" width="21.28515625" style="70" customWidth="1"/>
    <col min="7176" max="7176" width="9.140625" style="70"/>
    <col min="7177" max="7177" width="26.28515625" style="70" customWidth="1"/>
    <col min="7178" max="7178" width="16.5703125" style="70" customWidth="1"/>
    <col min="7179" max="7179" width="9.140625" style="70"/>
    <col min="7180" max="7180" width="13.85546875" style="70" customWidth="1"/>
    <col min="7181" max="7424" width="9.140625" style="70"/>
    <col min="7425" max="7425" width="7.42578125" style="70" customWidth="1"/>
    <col min="7426" max="7426" width="77.42578125" style="70" customWidth="1"/>
    <col min="7427" max="7427" width="10.5703125" style="70" customWidth="1"/>
    <col min="7428" max="7428" width="5.140625" style="70" customWidth="1"/>
    <col min="7429" max="7429" width="13" style="70" customWidth="1"/>
    <col min="7430" max="7430" width="15.28515625" style="70" customWidth="1"/>
    <col min="7431" max="7431" width="21.28515625" style="70" customWidth="1"/>
    <col min="7432" max="7432" width="9.140625" style="70"/>
    <col min="7433" max="7433" width="26.28515625" style="70" customWidth="1"/>
    <col min="7434" max="7434" width="16.5703125" style="70" customWidth="1"/>
    <col min="7435" max="7435" width="9.140625" style="70"/>
    <col min="7436" max="7436" width="13.85546875" style="70" customWidth="1"/>
    <col min="7437" max="7680" width="9.140625" style="70"/>
    <col min="7681" max="7681" width="7.42578125" style="70" customWidth="1"/>
    <col min="7682" max="7682" width="77.42578125" style="70" customWidth="1"/>
    <col min="7683" max="7683" width="10.5703125" style="70" customWidth="1"/>
    <col min="7684" max="7684" width="5.140625" style="70" customWidth="1"/>
    <col min="7685" max="7685" width="13" style="70" customWidth="1"/>
    <col min="7686" max="7686" width="15.28515625" style="70" customWidth="1"/>
    <col min="7687" max="7687" width="21.28515625" style="70" customWidth="1"/>
    <col min="7688" max="7688" width="9.140625" style="70"/>
    <col min="7689" max="7689" width="26.28515625" style="70" customWidth="1"/>
    <col min="7690" max="7690" width="16.5703125" style="70" customWidth="1"/>
    <col min="7691" max="7691" width="9.140625" style="70"/>
    <col min="7692" max="7692" width="13.85546875" style="70" customWidth="1"/>
    <col min="7693" max="7936" width="9.140625" style="70"/>
    <col min="7937" max="7937" width="7.42578125" style="70" customWidth="1"/>
    <col min="7938" max="7938" width="77.42578125" style="70" customWidth="1"/>
    <col min="7939" max="7939" width="10.5703125" style="70" customWidth="1"/>
    <col min="7940" max="7940" width="5.140625" style="70" customWidth="1"/>
    <col min="7941" max="7941" width="13" style="70" customWidth="1"/>
    <col min="7942" max="7942" width="15.28515625" style="70" customWidth="1"/>
    <col min="7943" max="7943" width="21.28515625" style="70" customWidth="1"/>
    <col min="7944" max="7944" width="9.140625" style="70"/>
    <col min="7945" max="7945" width="26.28515625" style="70" customWidth="1"/>
    <col min="7946" max="7946" width="16.5703125" style="70" customWidth="1"/>
    <col min="7947" max="7947" width="9.140625" style="70"/>
    <col min="7948" max="7948" width="13.85546875" style="70" customWidth="1"/>
    <col min="7949" max="8192" width="9.140625" style="70"/>
    <col min="8193" max="8193" width="7.42578125" style="70" customWidth="1"/>
    <col min="8194" max="8194" width="77.42578125" style="70" customWidth="1"/>
    <col min="8195" max="8195" width="10.5703125" style="70" customWidth="1"/>
    <col min="8196" max="8196" width="5.140625" style="70" customWidth="1"/>
    <col min="8197" max="8197" width="13" style="70" customWidth="1"/>
    <col min="8198" max="8198" width="15.28515625" style="70" customWidth="1"/>
    <col min="8199" max="8199" width="21.28515625" style="70" customWidth="1"/>
    <col min="8200" max="8200" width="9.140625" style="70"/>
    <col min="8201" max="8201" width="26.28515625" style="70" customWidth="1"/>
    <col min="8202" max="8202" width="16.5703125" style="70" customWidth="1"/>
    <col min="8203" max="8203" width="9.140625" style="70"/>
    <col min="8204" max="8204" width="13.85546875" style="70" customWidth="1"/>
    <col min="8205" max="8448" width="9.140625" style="70"/>
    <col min="8449" max="8449" width="7.42578125" style="70" customWidth="1"/>
    <col min="8450" max="8450" width="77.42578125" style="70" customWidth="1"/>
    <col min="8451" max="8451" width="10.5703125" style="70" customWidth="1"/>
    <col min="8452" max="8452" width="5.140625" style="70" customWidth="1"/>
    <col min="8453" max="8453" width="13" style="70" customWidth="1"/>
    <col min="8454" max="8454" width="15.28515625" style="70" customWidth="1"/>
    <col min="8455" max="8455" width="21.28515625" style="70" customWidth="1"/>
    <col min="8456" max="8456" width="9.140625" style="70"/>
    <col min="8457" max="8457" width="26.28515625" style="70" customWidth="1"/>
    <col min="8458" max="8458" width="16.5703125" style="70" customWidth="1"/>
    <col min="8459" max="8459" width="9.140625" style="70"/>
    <col min="8460" max="8460" width="13.85546875" style="70" customWidth="1"/>
    <col min="8461" max="8704" width="9.140625" style="70"/>
    <col min="8705" max="8705" width="7.42578125" style="70" customWidth="1"/>
    <col min="8706" max="8706" width="77.42578125" style="70" customWidth="1"/>
    <col min="8707" max="8707" width="10.5703125" style="70" customWidth="1"/>
    <col min="8708" max="8708" width="5.140625" style="70" customWidth="1"/>
    <col min="8709" max="8709" width="13" style="70" customWidth="1"/>
    <col min="8710" max="8710" width="15.28515625" style="70" customWidth="1"/>
    <col min="8711" max="8711" width="21.28515625" style="70" customWidth="1"/>
    <col min="8712" max="8712" width="9.140625" style="70"/>
    <col min="8713" max="8713" width="26.28515625" style="70" customWidth="1"/>
    <col min="8714" max="8714" width="16.5703125" style="70" customWidth="1"/>
    <col min="8715" max="8715" width="9.140625" style="70"/>
    <col min="8716" max="8716" width="13.85546875" style="70" customWidth="1"/>
    <col min="8717" max="8960" width="9.140625" style="70"/>
    <col min="8961" max="8961" width="7.42578125" style="70" customWidth="1"/>
    <col min="8962" max="8962" width="77.42578125" style="70" customWidth="1"/>
    <col min="8963" max="8963" width="10.5703125" style="70" customWidth="1"/>
    <col min="8964" max="8964" width="5.140625" style="70" customWidth="1"/>
    <col min="8965" max="8965" width="13" style="70" customWidth="1"/>
    <col min="8966" max="8966" width="15.28515625" style="70" customWidth="1"/>
    <col min="8967" max="8967" width="21.28515625" style="70" customWidth="1"/>
    <col min="8968" max="8968" width="9.140625" style="70"/>
    <col min="8969" max="8969" width="26.28515625" style="70" customWidth="1"/>
    <col min="8970" max="8970" width="16.5703125" style="70" customWidth="1"/>
    <col min="8971" max="8971" width="9.140625" style="70"/>
    <col min="8972" max="8972" width="13.85546875" style="70" customWidth="1"/>
    <col min="8973" max="9216" width="9.140625" style="70"/>
    <col min="9217" max="9217" width="7.42578125" style="70" customWidth="1"/>
    <col min="9218" max="9218" width="77.42578125" style="70" customWidth="1"/>
    <col min="9219" max="9219" width="10.5703125" style="70" customWidth="1"/>
    <col min="9220" max="9220" width="5.140625" style="70" customWidth="1"/>
    <col min="9221" max="9221" width="13" style="70" customWidth="1"/>
    <col min="9222" max="9222" width="15.28515625" style="70" customWidth="1"/>
    <col min="9223" max="9223" width="21.28515625" style="70" customWidth="1"/>
    <col min="9224" max="9224" width="9.140625" style="70"/>
    <col min="9225" max="9225" width="26.28515625" style="70" customWidth="1"/>
    <col min="9226" max="9226" width="16.5703125" style="70" customWidth="1"/>
    <col min="9227" max="9227" width="9.140625" style="70"/>
    <col min="9228" max="9228" width="13.85546875" style="70" customWidth="1"/>
    <col min="9229" max="9472" width="9.140625" style="70"/>
    <col min="9473" max="9473" width="7.42578125" style="70" customWidth="1"/>
    <col min="9474" max="9474" width="77.42578125" style="70" customWidth="1"/>
    <col min="9475" max="9475" width="10.5703125" style="70" customWidth="1"/>
    <col min="9476" max="9476" width="5.140625" style="70" customWidth="1"/>
    <col min="9477" max="9477" width="13" style="70" customWidth="1"/>
    <col min="9478" max="9478" width="15.28515625" style="70" customWidth="1"/>
    <col min="9479" max="9479" width="21.28515625" style="70" customWidth="1"/>
    <col min="9480" max="9480" width="9.140625" style="70"/>
    <col min="9481" max="9481" width="26.28515625" style="70" customWidth="1"/>
    <col min="9482" max="9482" width="16.5703125" style="70" customWidth="1"/>
    <col min="9483" max="9483" width="9.140625" style="70"/>
    <col min="9484" max="9484" width="13.85546875" style="70" customWidth="1"/>
    <col min="9485" max="9728" width="9.140625" style="70"/>
    <col min="9729" max="9729" width="7.42578125" style="70" customWidth="1"/>
    <col min="9730" max="9730" width="77.42578125" style="70" customWidth="1"/>
    <col min="9731" max="9731" width="10.5703125" style="70" customWidth="1"/>
    <col min="9732" max="9732" width="5.140625" style="70" customWidth="1"/>
    <col min="9733" max="9733" width="13" style="70" customWidth="1"/>
    <col min="9734" max="9734" width="15.28515625" style="70" customWidth="1"/>
    <col min="9735" max="9735" width="21.28515625" style="70" customWidth="1"/>
    <col min="9736" max="9736" width="9.140625" style="70"/>
    <col min="9737" max="9737" width="26.28515625" style="70" customWidth="1"/>
    <col min="9738" max="9738" width="16.5703125" style="70" customWidth="1"/>
    <col min="9739" max="9739" width="9.140625" style="70"/>
    <col min="9740" max="9740" width="13.85546875" style="70" customWidth="1"/>
    <col min="9741" max="9984" width="9.140625" style="70"/>
    <col min="9985" max="9985" width="7.42578125" style="70" customWidth="1"/>
    <col min="9986" max="9986" width="77.42578125" style="70" customWidth="1"/>
    <col min="9987" max="9987" width="10.5703125" style="70" customWidth="1"/>
    <col min="9988" max="9988" width="5.140625" style="70" customWidth="1"/>
    <col min="9989" max="9989" width="13" style="70" customWidth="1"/>
    <col min="9990" max="9990" width="15.28515625" style="70" customWidth="1"/>
    <col min="9991" max="9991" width="21.28515625" style="70" customWidth="1"/>
    <col min="9992" max="9992" width="9.140625" style="70"/>
    <col min="9993" max="9993" width="26.28515625" style="70" customWidth="1"/>
    <col min="9994" max="9994" width="16.5703125" style="70" customWidth="1"/>
    <col min="9995" max="9995" width="9.140625" style="70"/>
    <col min="9996" max="9996" width="13.85546875" style="70" customWidth="1"/>
    <col min="9997" max="10240" width="9.140625" style="70"/>
    <col min="10241" max="10241" width="7.42578125" style="70" customWidth="1"/>
    <col min="10242" max="10242" width="77.42578125" style="70" customWidth="1"/>
    <col min="10243" max="10243" width="10.5703125" style="70" customWidth="1"/>
    <col min="10244" max="10244" width="5.140625" style="70" customWidth="1"/>
    <col min="10245" max="10245" width="13" style="70" customWidth="1"/>
    <col min="10246" max="10246" width="15.28515625" style="70" customWidth="1"/>
    <col min="10247" max="10247" width="21.28515625" style="70" customWidth="1"/>
    <col min="10248" max="10248" width="9.140625" style="70"/>
    <col min="10249" max="10249" width="26.28515625" style="70" customWidth="1"/>
    <col min="10250" max="10250" width="16.5703125" style="70" customWidth="1"/>
    <col min="10251" max="10251" width="9.140625" style="70"/>
    <col min="10252" max="10252" width="13.85546875" style="70" customWidth="1"/>
    <col min="10253" max="10496" width="9.140625" style="70"/>
    <col min="10497" max="10497" width="7.42578125" style="70" customWidth="1"/>
    <col min="10498" max="10498" width="77.42578125" style="70" customWidth="1"/>
    <col min="10499" max="10499" width="10.5703125" style="70" customWidth="1"/>
    <col min="10500" max="10500" width="5.140625" style="70" customWidth="1"/>
    <col min="10501" max="10501" width="13" style="70" customWidth="1"/>
    <col min="10502" max="10502" width="15.28515625" style="70" customWidth="1"/>
    <col min="10503" max="10503" width="21.28515625" style="70" customWidth="1"/>
    <col min="10504" max="10504" width="9.140625" style="70"/>
    <col min="10505" max="10505" width="26.28515625" style="70" customWidth="1"/>
    <col min="10506" max="10506" width="16.5703125" style="70" customWidth="1"/>
    <col min="10507" max="10507" width="9.140625" style="70"/>
    <col min="10508" max="10508" width="13.85546875" style="70" customWidth="1"/>
    <col min="10509" max="10752" width="9.140625" style="70"/>
    <col min="10753" max="10753" width="7.42578125" style="70" customWidth="1"/>
    <col min="10754" max="10754" width="77.42578125" style="70" customWidth="1"/>
    <col min="10755" max="10755" width="10.5703125" style="70" customWidth="1"/>
    <col min="10756" max="10756" width="5.140625" style="70" customWidth="1"/>
    <col min="10757" max="10757" width="13" style="70" customWidth="1"/>
    <col min="10758" max="10758" width="15.28515625" style="70" customWidth="1"/>
    <col min="10759" max="10759" width="21.28515625" style="70" customWidth="1"/>
    <col min="10760" max="10760" width="9.140625" style="70"/>
    <col min="10761" max="10761" width="26.28515625" style="70" customWidth="1"/>
    <col min="10762" max="10762" width="16.5703125" style="70" customWidth="1"/>
    <col min="10763" max="10763" width="9.140625" style="70"/>
    <col min="10764" max="10764" width="13.85546875" style="70" customWidth="1"/>
    <col min="10765" max="11008" width="9.140625" style="70"/>
    <col min="11009" max="11009" width="7.42578125" style="70" customWidth="1"/>
    <col min="11010" max="11010" width="77.42578125" style="70" customWidth="1"/>
    <col min="11011" max="11011" width="10.5703125" style="70" customWidth="1"/>
    <col min="11012" max="11012" width="5.140625" style="70" customWidth="1"/>
    <col min="11013" max="11013" width="13" style="70" customWidth="1"/>
    <col min="11014" max="11014" width="15.28515625" style="70" customWidth="1"/>
    <col min="11015" max="11015" width="21.28515625" style="70" customWidth="1"/>
    <col min="11016" max="11016" width="9.140625" style="70"/>
    <col min="11017" max="11017" width="26.28515625" style="70" customWidth="1"/>
    <col min="11018" max="11018" width="16.5703125" style="70" customWidth="1"/>
    <col min="11019" max="11019" width="9.140625" style="70"/>
    <col min="11020" max="11020" width="13.85546875" style="70" customWidth="1"/>
    <col min="11021" max="11264" width="9.140625" style="70"/>
    <col min="11265" max="11265" width="7.42578125" style="70" customWidth="1"/>
    <col min="11266" max="11266" width="77.42578125" style="70" customWidth="1"/>
    <col min="11267" max="11267" width="10.5703125" style="70" customWidth="1"/>
    <col min="11268" max="11268" width="5.140625" style="70" customWidth="1"/>
    <col min="11269" max="11269" width="13" style="70" customWidth="1"/>
    <col min="11270" max="11270" width="15.28515625" style="70" customWidth="1"/>
    <col min="11271" max="11271" width="21.28515625" style="70" customWidth="1"/>
    <col min="11272" max="11272" width="9.140625" style="70"/>
    <col min="11273" max="11273" width="26.28515625" style="70" customWidth="1"/>
    <col min="11274" max="11274" width="16.5703125" style="70" customWidth="1"/>
    <col min="11275" max="11275" width="9.140625" style="70"/>
    <col min="11276" max="11276" width="13.85546875" style="70" customWidth="1"/>
    <col min="11277" max="11520" width="9.140625" style="70"/>
    <col min="11521" max="11521" width="7.42578125" style="70" customWidth="1"/>
    <col min="11522" max="11522" width="77.42578125" style="70" customWidth="1"/>
    <col min="11523" max="11523" width="10.5703125" style="70" customWidth="1"/>
    <col min="11524" max="11524" width="5.140625" style="70" customWidth="1"/>
    <col min="11525" max="11525" width="13" style="70" customWidth="1"/>
    <col min="11526" max="11526" width="15.28515625" style="70" customWidth="1"/>
    <col min="11527" max="11527" width="21.28515625" style="70" customWidth="1"/>
    <col min="11528" max="11528" width="9.140625" style="70"/>
    <col min="11529" max="11529" width="26.28515625" style="70" customWidth="1"/>
    <col min="11530" max="11530" width="16.5703125" style="70" customWidth="1"/>
    <col min="11531" max="11531" width="9.140625" style="70"/>
    <col min="11532" max="11532" width="13.85546875" style="70" customWidth="1"/>
    <col min="11533" max="11776" width="9.140625" style="70"/>
    <col min="11777" max="11777" width="7.42578125" style="70" customWidth="1"/>
    <col min="11778" max="11778" width="77.42578125" style="70" customWidth="1"/>
    <col min="11779" max="11779" width="10.5703125" style="70" customWidth="1"/>
    <col min="11780" max="11780" width="5.140625" style="70" customWidth="1"/>
    <col min="11781" max="11781" width="13" style="70" customWidth="1"/>
    <col min="11782" max="11782" width="15.28515625" style="70" customWidth="1"/>
    <col min="11783" max="11783" width="21.28515625" style="70" customWidth="1"/>
    <col min="11784" max="11784" width="9.140625" style="70"/>
    <col min="11785" max="11785" width="26.28515625" style="70" customWidth="1"/>
    <col min="11786" max="11786" width="16.5703125" style="70" customWidth="1"/>
    <col min="11787" max="11787" width="9.140625" style="70"/>
    <col min="11788" max="11788" width="13.85546875" style="70" customWidth="1"/>
    <col min="11789" max="12032" width="9.140625" style="70"/>
    <col min="12033" max="12033" width="7.42578125" style="70" customWidth="1"/>
    <col min="12034" max="12034" width="77.42578125" style="70" customWidth="1"/>
    <col min="12035" max="12035" width="10.5703125" style="70" customWidth="1"/>
    <col min="12036" max="12036" width="5.140625" style="70" customWidth="1"/>
    <col min="12037" max="12037" width="13" style="70" customWidth="1"/>
    <col min="12038" max="12038" width="15.28515625" style="70" customWidth="1"/>
    <col min="12039" max="12039" width="21.28515625" style="70" customWidth="1"/>
    <col min="12040" max="12040" width="9.140625" style="70"/>
    <col min="12041" max="12041" width="26.28515625" style="70" customWidth="1"/>
    <col min="12042" max="12042" width="16.5703125" style="70" customWidth="1"/>
    <col min="12043" max="12043" width="9.140625" style="70"/>
    <col min="12044" max="12044" width="13.85546875" style="70" customWidth="1"/>
    <col min="12045" max="12288" width="9.140625" style="70"/>
    <col min="12289" max="12289" width="7.42578125" style="70" customWidth="1"/>
    <col min="12290" max="12290" width="77.42578125" style="70" customWidth="1"/>
    <col min="12291" max="12291" width="10.5703125" style="70" customWidth="1"/>
    <col min="12292" max="12292" width="5.140625" style="70" customWidth="1"/>
    <col min="12293" max="12293" width="13" style="70" customWidth="1"/>
    <col min="12294" max="12294" width="15.28515625" style="70" customWidth="1"/>
    <col min="12295" max="12295" width="21.28515625" style="70" customWidth="1"/>
    <col min="12296" max="12296" width="9.140625" style="70"/>
    <col min="12297" max="12297" width="26.28515625" style="70" customWidth="1"/>
    <col min="12298" max="12298" width="16.5703125" style="70" customWidth="1"/>
    <col min="12299" max="12299" width="9.140625" style="70"/>
    <col min="12300" max="12300" width="13.85546875" style="70" customWidth="1"/>
    <col min="12301" max="12544" width="9.140625" style="70"/>
    <col min="12545" max="12545" width="7.42578125" style="70" customWidth="1"/>
    <col min="12546" max="12546" width="77.42578125" style="70" customWidth="1"/>
    <col min="12547" max="12547" width="10.5703125" style="70" customWidth="1"/>
    <col min="12548" max="12548" width="5.140625" style="70" customWidth="1"/>
    <col min="12549" max="12549" width="13" style="70" customWidth="1"/>
    <col min="12550" max="12550" width="15.28515625" style="70" customWidth="1"/>
    <col min="12551" max="12551" width="21.28515625" style="70" customWidth="1"/>
    <col min="12552" max="12552" width="9.140625" style="70"/>
    <col min="12553" max="12553" width="26.28515625" style="70" customWidth="1"/>
    <col min="12554" max="12554" width="16.5703125" style="70" customWidth="1"/>
    <col min="12555" max="12555" width="9.140625" style="70"/>
    <col min="12556" max="12556" width="13.85546875" style="70" customWidth="1"/>
    <col min="12557" max="12800" width="9.140625" style="70"/>
    <col min="12801" max="12801" width="7.42578125" style="70" customWidth="1"/>
    <col min="12802" max="12802" width="77.42578125" style="70" customWidth="1"/>
    <col min="12803" max="12803" width="10.5703125" style="70" customWidth="1"/>
    <col min="12804" max="12804" width="5.140625" style="70" customWidth="1"/>
    <col min="12805" max="12805" width="13" style="70" customWidth="1"/>
    <col min="12806" max="12806" width="15.28515625" style="70" customWidth="1"/>
    <col min="12807" max="12807" width="21.28515625" style="70" customWidth="1"/>
    <col min="12808" max="12808" width="9.140625" style="70"/>
    <col min="12809" max="12809" width="26.28515625" style="70" customWidth="1"/>
    <col min="12810" max="12810" width="16.5703125" style="70" customWidth="1"/>
    <col min="12811" max="12811" width="9.140625" style="70"/>
    <col min="12812" max="12812" width="13.85546875" style="70" customWidth="1"/>
    <col min="12813" max="13056" width="9.140625" style="70"/>
    <col min="13057" max="13057" width="7.42578125" style="70" customWidth="1"/>
    <col min="13058" max="13058" width="77.42578125" style="70" customWidth="1"/>
    <col min="13059" max="13059" width="10.5703125" style="70" customWidth="1"/>
    <col min="13060" max="13060" width="5.140625" style="70" customWidth="1"/>
    <col min="13061" max="13061" width="13" style="70" customWidth="1"/>
    <col min="13062" max="13062" width="15.28515625" style="70" customWidth="1"/>
    <col min="13063" max="13063" width="21.28515625" style="70" customWidth="1"/>
    <col min="13064" max="13064" width="9.140625" style="70"/>
    <col min="13065" max="13065" width="26.28515625" style="70" customWidth="1"/>
    <col min="13066" max="13066" width="16.5703125" style="70" customWidth="1"/>
    <col min="13067" max="13067" width="9.140625" style="70"/>
    <col min="13068" max="13068" width="13.85546875" style="70" customWidth="1"/>
    <col min="13069" max="13312" width="9.140625" style="70"/>
    <col min="13313" max="13313" width="7.42578125" style="70" customWidth="1"/>
    <col min="13314" max="13314" width="77.42578125" style="70" customWidth="1"/>
    <col min="13315" max="13315" width="10.5703125" style="70" customWidth="1"/>
    <col min="13316" max="13316" width="5.140625" style="70" customWidth="1"/>
    <col min="13317" max="13317" width="13" style="70" customWidth="1"/>
    <col min="13318" max="13318" width="15.28515625" style="70" customWidth="1"/>
    <col min="13319" max="13319" width="21.28515625" style="70" customWidth="1"/>
    <col min="13320" max="13320" width="9.140625" style="70"/>
    <col min="13321" max="13321" width="26.28515625" style="70" customWidth="1"/>
    <col min="13322" max="13322" width="16.5703125" style="70" customWidth="1"/>
    <col min="13323" max="13323" width="9.140625" style="70"/>
    <col min="13324" max="13324" width="13.85546875" style="70" customWidth="1"/>
    <col min="13325" max="13568" width="9.140625" style="70"/>
    <col min="13569" max="13569" width="7.42578125" style="70" customWidth="1"/>
    <col min="13570" max="13570" width="77.42578125" style="70" customWidth="1"/>
    <col min="13571" max="13571" width="10.5703125" style="70" customWidth="1"/>
    <col min="13572" max="13572" width="5.140625" style="70" customWidth="1"/>
    <col min="13573" max="13573" width="13" style="70" customWidth="1"/>
    <col min="13574" max="13574" width="15.28515625" style="70" customWidth="1"/>
    <col min="13575" max="13575" width="21.28515625" style="70" customWidth="1"/>
    <col min="13576" max="13576" width="9.140625" style="70"/>
    <col min="13577" max="13577" width="26.28515625" style="70" customWidth="1"/>
    <col min="13578" max="13578" width="16.5703125" style="70" customWidth="1"/>
    <col min="13579" max="13579" width="9.140625" style="70"/>
    <col min="13580" max="13580" width="13.85546875" style="70" customWidth="1"/>
    <col min="13581" max="13824" width="9.140625" style="70"/>
    <col min="13825" max="13825" width="7.42578125" style="70" customWidth="1"/>
    <col min="13826" max="13826" width="77.42578125" style="70" customWidth="1"/>
    <col min="13827" max="13827" width="10.5703125" style="70" customWidth="1"/>
    <col min="13828" max="13828" width="5.140625" style="70" customWidth="1"/>
    <col min="13829" max="13829" width="13" style="70" customWidth="1"/>
    <col min="13830" max="13830" width="15.28515625" style="70" customWidth="1"/>
    <col min="13831" max="13831" width="21.28515625" style="70" customWidth="1"/>
    <col min="13832" max="13832" width="9.140625" style="70"/>
    <col min="13833" max="13833" width="26.28515625" style="70" customWidth="1"/>
    <col min="13834" max="13834" width="16.5703125" style="70" customWidth="1"/>
    <col min="13835" max="13835" width="9.140625" style="70"/>
    <col min="13836" max="13836" width="13.85546875" style="70" customWidth="1"/>
    <col min="13837" max="14080" width="9.140625" style="70"/>
    <col min="14081" max="14081" width="7.42578125" style="70" customWidth="1"/>
    <col min="14082" max="14082" width="77.42578125" style="70" customWidth="1"/>
    <col min="14083" max="14083" width="10.5703125" style="70" customWidth="1"/>
    <col min="14084" max="14084" width="5.140625" style="70" customWidth="1"/>
    <col min="14085" max="14085" width="13" style="70" customWidth="1"/>
    <col min="14086" max="14086" width="15.28515625" style="70" customWidth="1"/>
    <col min="14087" max="14087" width="21.28515625" style="70" customWidth="1"/>
    <col min="14088" max="14088" width="9.140625" style="70"/>
    <col min="14089" max="14089" width="26.28515625" style="70" customWidth="1"/>
    <col min="14090" max="14090" width="16.5703125" style="70" customWidth="1"/>
    <col min="14091" max="14091" width="9.140625" style="70"/>
    <col min="14092" max="14092" width="13.85546875" style="70" customWidth="1"/>
    <col min="14093" max="14336" width="9.140625" style="70"/>
    <col min="14337" max="14337" width="7.42578125" style="70" customWidth="1"/>
    <col min="14338" max="14338" width="77.42578125" style="70" customWidth="1"/>
    <col min="14339" max="14339" width="10.5703125" style="70" customWidth="1"/>
    <col min="14340" max="14340" width="5.140625" style="70" customWidth="1"/>
    <col min="14341" max="14341" width="13" style="70" customWidth="1"/>
    <col min="14342" max="14342" width="15.28515625" style="70" customWidth="1"/>
    <col min="14343" max="14343" width="21.28515625" style="70" customWidth="1"/>
    <col min="14344" max="14344" width="9.140625" style="70"/>
    <col min="14345" max="14345" width="26.28515625" style="70" customWidth="1"/>
    <col min="14346" max="14346" width="16.5703125" style="70" customWidth="1"/>
    <col min="14347" max="14347" width="9.140625" style="70"/>
    <col min="14348" max="14348" width="13.85546875" style="70" customWidth="1"/>
    <col min="14349" max="14592" width="9.140625" style="70"/>
    <col min="14593" max="14593" width="7.42578125" style="70" customWidth="1"/>
    <col min="14594" max="14594" width="77.42578125" style="70" customWidth="1"/>
    <col min="14595" max="14595" width="10.5703125" style="70" customWidth="1"/>
    <col min="14596" max="14596" width="5.140625" style="70" customWidth="1"/>
    <col min="14597" max="14597" width="13" style="70" customWidth="1"/>
    <col min="14598" max="14598" width="15.28515625" style="70" customWidth="1"/>
    <col min="14599" max="14599" width="21.28515625" style="70" customWidth="1"/>
    <col min="14600" max="14600" width="9.140625" style="70"/>
    <col min="14601" max="14601" width="26.28515625" style="70" customWidth="1"/>
    <col min="14602" max="14602" width="16.5703125" style="70" customWidth="1"/>
    <col min="14603" max="14603" width="9.140625" style="70"/>
    <col min="14604" max="14604" width="13.85546875" style="70" customWidth="1"/>
    <col min="14605" max="14848" width="9.140625" style="70"/>
    <col min="14849" max="14849" width="7.42578125" style="70" customWidth="1"/>
    <col min="14850" max="14850" width="77.42578125" style="70" customWidth="1"/>
    <col min="14851" max="14851" width="10.5703125" style="70" customWidth="1"/>
    <col min="14852" max="14852" width="5.140625" style="70" customWidth="1"/>
    <col min="14853" max="14853" width="13" style="70" customWidth="1"/>
    <col min="14854" max="14854" width="15.28515625" style="70" customWidth="1"/>
    <col min="14855" max="14855" width="21.28515625" style="70" customWidth="1"/>
    <col min="14856" max="14856" width="9.140625" style="70"/>
    <col min="14857" max="14857" width="26.28515625" style="70" customWidth="1"/>
    <col min="14858" max="14858" width="16.5703125" style="70" customWidth="1"/>
    <col min="14859" max="14859" width="9.140625" style="70"/>
    <col min="14860" max="14860" width="13.85546875" style="70" customWidth="1"/>
    <col min="14861" max="15104" width="9.140625" style="70"/>
    <col min="15105" max="15105" width="7.42578125" style="70" customWidth="1"/>
    <col min="15106" max="15106" width="77.42578125" style="70" customWidth="1"/>
    <col min="15107" max="15107" width="10.5703125" style="70" customWidth="1"/>
    <col min="15108" max="15108" width="5.140625" style="70" customWidth="1"/>
    <col min="15109" max="15109" width="13" style="70" customWidth="1"/>
    <col min="15110" max="15110" width="15.28515625" style="70" customWidth="1"/>
    <col min="15111" max="15111" width="21.28515625" style="70" customWidth="1"/>
    <col min="15112" max="15112" width="9.140625" style="70"/>
    <col min="15113" max="15113" width="26.28515625" style="70" customWidth="1"/>
    <col min="15114" max="15114" width="16.5703125" style="70" customWidth="1"/>
    <col min="15115" max="15115" width="9.140625" style="70"/>
    <col min="15116" max="15116" width="13.85546875" style="70" customWidth="1"/>
    <col min="15117" max="15360" width="9.140625" style="70"/>
    <col min="15361" max="15361" width="7.42578125" style="70" customWidth="1"/>
    <col min="15362" max="15362" width="77.42578125" style="70" customWidth="1"/>
    <col min="15363" max="15363" width="10.5703125" style="70" customWidth="1"/>
    <col min="15364" max="15364" width="5.140625" style="70" customWidth="1"/>
    <col min="15365" max="15365" width="13" style="70" customWidth="1"/>
    <col min="15366" max="15366" width="15.28515625" style="70" customWidth="1"/>
    <col min="15367" max="15367" width="21.28515625" style="70" customWidth="1"/>
    <col min="15368" max="15368" width="9.140625" style="70"/>
    <col min="15369" max="15369" width="26.28515625" style="70" customWidth="1"/>
    <col min="15370" max="15370" width="16.5703125" style="70" customWidth="1"/>
    <col min="15371" max="15371" width="9.140625" style="70"/>
    <col min="15372" max="15372" width="13.85546875" style="70" customWidth="1"/>
    <col min="15373" max="15616" width="9.140625" style="70"/>
    <col min="15617" max="15617" width="7.42578125" style="70" customWidth="1"/>
    <col min="15618" max="15618" width="77.42578125" style="70" customWidth="1"/>
    <col min="15619" max="15619" width="10.5703125" style="70" customWidth="1"/>
    <col min="15620" max="15620" width="5.140625" style="70" customWidth="1"/>
    <col min="15621" max="15621" width="13" style="70" customWidth="1"/>
    <col min="15622" max="15622" width="15.28515625" style="70" customWidth="1"/>
    <col min="15623" max="15623" width="21.28515625" style="70" customWidth="1"/>
    <col min="15624" max="15624" width="9.140625" style="70"/>
    <col min="15625" max="15625" width="26.28515625" style="70" customWidth="1"/>
    <col min="15626" max="15626" width="16.5703125" style="70" customWidth="1"/>
    <col min="15627" max="15627" width="9.140625" style="70"/>
    <col min="15628" max="15628" width="13.85546875" style="70" customWidth="1"/>
    <col min="15629" max="15872" width="9.140625" style="70"/>
    <col min="15873" max="15873" width="7.42578125" style="70" customWidth="1"/>
    <col min="15874" max="15874" width="77.42578125" style="70" customWidth="1"/>
    <col min="15875" max="15875" width="10.5703125" style="70" customWidth="1"/>
    <col min="15876" max="15876" width="5.140625" style="70" customWidth="1"/>
    <col min="15877" max="15877" width="13" style="70" customWidth="1"/>
    <col min="15878" max="15878" width="15.28515625" style="70" customWidth="1"/>
    <col min="15879" max="15879" width="21.28515625" style="70" customWidth="1"/>
    <col min="15880" max="15880" width="9.140625" style="70"/>
    <col min="15881" max="15881" width="26.28515625" style="70" customWidth="1"/>
    <col min="15882" max="15882" width="16.5703125" style="70" customWidth="1"/>
    <col min="15883" max="15883" width="9.140625" style="70"/>
    <col min="15884" max="15884" width="13.85546875" style="70" customWidth="1"/>
    <col min="15885" max="16128" width="9.140625" style="70"/>
    <col min="16129" max="16129" width="7.42578125" style="70" customWidth="1"/>
    <col min="16130" max="16130" width="77.42578125" style="70" customWidth="1"/>
    <col min="16131" max="16131" width="10.5703125" style="70" customWidth="1"/>
    <col min="16132" max="16132" width="5.140625" style="70" customWidth="1"/>
    <col min="16133" max="16133" width="13" style="70" customWidth="1"/>
    <col min="16134" max="16134" width="15.28515625" style="70" customWidth="1"/>
    <col min="16135" max="16135" width="21.28515625" style="70" customWidth="1"/>
    <col min="16136" max="16136" width="9.140625" style="70"/>
    <col min="16137" max="16137" width="26.28515625" style="70" customWidth="1"/>
    <col min="16138" max="16138" width="16.5703125" style="70" customWidth="1"/>
    <col min="16139" max="16139" width="9.140625" style="70"/>
    <col min="16140" max="16140" width="13.85546875" style="70" customWidth="1"/>
    <col min="16141" max="16384" width="9.140625" style="70"/>
  </cols>
  <sheetData>
    <row r="1" spans="1:8" s="172" customFormat="1" ht="29.25" customHeight="1">
      <c r="A1" s="582"/>
      <c r="B1" s="582"/>
      <c r="C1" s="582"/>
      <c r="D1" s="582"/>
      <c r="E1" s="582"/>
      <c r="F1" s="582"/>
      <c r="G1" s="582"/>
      <c r="H1" s="171"/>
    </row>
    <row r="2" spans="1:8" s="172" customFormat="1" ht="29.25" customHeight="1">
      <c r="A2" s="173"/>
      <c r="B2" s="583" t="s">
        <v>516</v>
      </c>
      <c r="C2" s="583"/>
      <c r="D2" s="583"/>
      <c r="E2" s="583"/>
      <c r="F2" s="583"/>
      <c r="G2" s="583"/>
      <c r="H2" s="174"/>
    </row>
    <row r="3" spans="1:8" s="172" customFormat="1" ht="29.25" customHeight="1">
      <c r="A3" s="173"/>
      <c r="B3" s="584" t="s">
        <v>517</v>
      </c>
      <c r="C3" s="584"/>
      <c r="D3" s="584"/>
      <c r="E3" s="584"/>
      <c r="F3" s="584"/>
      <c r="G3" s="584"/>
      <c r="H3" s="175"/>
    </row>
    <row r="4" spans="1:8" s="172" customFormat="1" ht="29.25" customHeight="1">
      <c r="A4" s="176"/>
      <c r="B4" s="177"/>
      <c r="C4" s="178"/>
      <c r="D4" s="179"/>
      <c r="E4" s="180"/>
      <c r="F4" s="180"/>
      <c r="G4" s="181"/>
      <c r="H4" s="171"/>
    </row>
    <row r="5" spans="1:8" s="172" customFormat="1" ht="15.75" customHeight="1">
      <c r="A5" s="182"/>
      <c r="B5" s="183"/>
      <c r="C5" s="184"/>
      <c r="D5" s="185"/>
      <c r="E5" s="186"/>
      <c r="F5" s="186"/>
      <c r="G5" s="187"/>
    </row>
    <row r="6" spans="1:8" s="172" customFormat="1" ht="29.25" customHeight="1">
      <c r="A6" s="188"/>
      <c r="B6" s="585"/>
      <c r="C6" s="585"/>
      <c r="D6" s="585"/>
      <c r="E6" s="586"/>
      <c r="F6" s="586"/>
      <c r="G6" s="586"/>
    </row>
    <row r="7" spans="1:8" s="172" customFormat="1" ht="30.75" customHeight="1">
      <c r="A7" s="188"/>
      <c r="B7" s="587" t="s">
        <v>1043</v>
      </c>
      <c r="C7" s="587"/>
      <c r="D7" s="587"/>
      <c r="E7" s="587"/>
      <c r="F7" s="587"/>
      <c r="G7" s="587"/>
    </row>
    <row r="8" spans="1:8" s="172" customFormat="1" ht="19.5" customHeight="1" thickBot="1">
      <c r="A8" s="189"/>
      <c r="B8" s="588" t="s">
        <v>644</v>
      </c>
      <c r="C8" s="588"/>
      <c r="D8" s="588"/>
      <c r="E8" s="588"/>
      <c r="F8" s="588"/>
      <c r="G8" s="190"/>
    </row>
    <row r="9" spans="1:8" s="172" customFormat="1" ht="28.5" customHeight="1" thickTop="1" thickBot="1">
      <c r="A9" s="191" t="s">
        <v>1</v>
      </c>
      <c r="B9" s="192" t="s">
        <v>472</v>
      </c>
      <c r="C9" s="193" t="s">
        <v>473</v>
      </c>
      <c r="D9" s="194" t="s">
        <v>16</v>
      </c>
      <c r="E9" s="195" t="s">
        <v>504</v>
      </c>
      <c r="F9" s="195" t="s">
        <v>505</v>
      </c>
      <c r="G9" s="196" t="s">
        <v>506</v>
      </c>
    </row>
    <row r="10" spans="1:8" ht="15.75" thickTop="1">
      <c r="A10" s="162"/>
      <c r="B10" s="154"/>
      <c r="C10" s="155"/>
      <c r="D10" s="154"/>
      <c r="E10" s="156"/>
      <c r="F10" s="156"/>
      <c r="G10" s="157"/>
    </row>
    <row r="11" spans="1:8" s="315" customFormat="1" ht="20.25" customHeight="1">
      <c r="A11" s="229"/>
      <c r="B11" s="230" t="s">
        <v>645</v>
      </c>
      <c r="C11" s="140"/>
      <c r="D11" s="140"/>
      <c r="E11" s="139"/>
      <c r="F11" s="140"/>
      <c r="G11" s="141"/>
    </row>
    <row r="12" spans="1:8" s="315" customFormat="1" ht="20.25" customHeight="1">
      <c r="A12" s="231">
        <v>1</v>
      </c>
      <c r="B12" s="230" t="s">
        <v>646</v>
      </c>
      <c r="C12" s="140"/>
      <c r="D12" s="140"/>
      <c r="E12" s="139"/>
      <c r="F12" s="140"/>
      <c r="G12" s="141"/>
    </row>
    <row r="13" spans="1:8" s="315" customFormat="1" ht="20.25" customHeight="1">
      <c r="A13" s="229">
        <f>A12+0.01</f>
        <v>1.01</v>
      </c>
      <c r="B13" s="232" t="s">
        <v>647</v>
      </c>
      <c r="C13" s="337" t="e">
        <f>#REF!</f>
        <v>#REF!</v>
      </c>
      <c r="D13" s="139" t="s">
        <v>474</v>
      </c>
      <c r="E13" s="337">
        <v>50</v>
      </c>
      <c r="F13" s="233" t="e">
        <f>ROUND(C13*E13,2)</f>
        <v>#REF!</v>
      </c>
      <c r="G13" s="141"/>
    </row>
    <row r="14" spans="1:8" s="315" customFormat="1" ht="20.25" customHeight="1">
      <c r="A14" s="229">
        <f>A13+0.01</f>
        <v>1.02</v>
      </c>
      <c r="B14" s="232" t="s">
        <v>648</v>
      </c>
      <c r="C14" s="139" t="e">
        <f>#REF!</f>
        <v>#REF!</v>
      </c>
      <c r="D14" s="139" t="s">
        <v>474</v>
      </c>
      <c r="E14" s="251">
        <v>70</v>
      </c>
      <c r="F14" s="233" t="e">
        <f t="shared" ref="F14" si="0">ROUND(C14*E14,2)</f>
        <v>#REF!</v>
      </c>
      <c r="G14" s="141" t="e">
        <f>SUM(F13:F14)</f>
        <v>#REF!</v>
      </c>
    </row>
    <row r="15" spans="1:8" s="315" customFormat="1" ht="20.25" customHeight="1">
      <c r="A15" s="231">
        <f>A12+1</f>
        <v>2</v>
      </c>
      <c r="B15" s="230" t="s">
        <v>514</v>
      </c>
      <c r="C15" s="139"/>
      <c r="D15" s="139" t="s">
        <v>477</v>
      </c>
      <c r="E15" s="139"/>
      <c r="F15" s="140"/>
      <c r="G15" s="141"/>
    </row>
    <row r="16" spans="1:8" s="315" customFormat="1" ht="20.25" customHeight="1">
      <c r="A16" s="229">
        <f>A15+0.01</f>
        <v>2.0099999999999998</v>
      </c>
      <c r="B16" s="232" t="s">
        <v>649</v>
      </c>
      <c r="C16" s="139" t="e">
        <f>#REF!</f>
        <v>#REF!</v>
      </c>
      <c r="D16" s="139" t="s">
        <v>475</v>
      </c>
      <c r="E16" s="139">
        <v>362.45</v>
      </c>
      <c r="F16" s="140" t="e">
        <f t="shared" ref="F16:F19" si="1">ROUND(C16*E16,2)</f>
        <v>#REF!</v>
      </c>
      <c r="G16" s="141"/>
      <c r="H16" s="599"/>
    </row>
    <row r="17" spans="1:8" s="315" customFormat="1" ht="20.25" customHeight="1">
      <c r="A17" s="229">
        <f t="shared" ref="A17:A19" si="2">A16+0.01</f>
        <v>2.0199999999999996</v>
      </c>
      <c r="B17" s="232" t="s">
        <v>476</v>
      </c>
      <c r="C17" s="139" t="e">
        <f>#REF!</f>
        <v>#REF!</v>
      </c>
      <c r="D17" s="139" t="s">
        <v>475</v>
      </c>
      <c r="E17" s="139">
        <v>1123.1600000000001</v>
      </c>
      <c r="F17" s="140" t="e">
        <f t="shared" si="1"/>
        <v>#REF!</v>
      </c>
      <c r="G17" s="141"/>
      <c r="H17" s="599"/>
    </row>
    <row r="18" spans="1:8" s="315" customFormat="1" ht="20.25" customHeight="1">
      <c r="A18" s="229">
        <f t="shared" si="2"/>
        <v>2.0299999999999994</v>
      </c>
      <c r="B18" s="232" t="s">
        <v>515</v>
      </c>
      <c r="C18" s="139" t="e">
        <f>#REF!</f>
        <v>#REF!</v>
      </c>
      <c r="D18" s="139" t="s">
        <v>475</v>
      </c>
      <c r="E18" s="139">
        <v>90.68</v>
      </c>
      <c r="F18" s="140" t="e">
        <f t="shared" si="1"/>
        <v>#REF!</v>
      </c>
      <c r="G18" s="141"/>
    </row>
    <row r="19" spans="1:8" s="315" customFormat="1" ht="20.25" customHeight="1">
      <c r="A19" s="229">
        <f t="shared" si="2"/>
        <v>2.0399999999999991</v>
      </c>
      <c r="B19" s="234" t="s">
        <v>650</v>
      </c>
      <c r="C19" s="139" t="e">
        <f>#REF!</f>
        <v>#REF!</v>
      </c>
      <c r="D19" s="139" t="s">
        <v>475</v>
      </c>
      <c r="E19" s="139">
        <v>350</v>
      </c>
      <c r="F19" s="140" t="e">
        <f t="shared" si="1"/>
        <v>#REF!</v>
      </c>
      <c r="G19" s="141" t="e">
        <f>SUM(F16:F19)</f>
        <v>#REF!</v>
      </c>
    </row>
    <row r="20" spans="1:8" s="315" customFormat="1" ht="20.25" customHeight="1">
      <c r="A20" s="231">
        <f>A15+1</f>
        <v>3</v>
      </c>
      <c r="B20" s="230" t="s">
        <v>478</v>
      </c>
      <c r="C20" s="139"/>
      <c r="D20" s="139" t="s">
        <v>477</v>
      </c>
      <c r="E20" s="139"/>
      <c r="F20" s="140"/>
      <c r="G20" s="141"/>
    </row>
    <row r="21" spans="1:8" s="315" customFormat="1" ht="20.25" customHeight="1">
      <c r="A21" s="229">
        <f>A20+0.01</f>
        <v>3.01</v>
      </c>
      <c r="B21" s="235" t="s">
        <v>730</v>
      </c>
      <c r="C21" s="139" t="e">
        <f>#REF!</f>
        <v>#REF!</v>
      </c>
      <c r="D21" s="139" t="s">
        <v>651</v>
      </c>
      <c r="E21" s="139">
        <f>+'ana A1'!$F$173</f>
        <v>6315.7325000000001</v>
      </c>
      <c r="F21" s="140" t="e">
        <f t="shared" ref="F21" si="3">ROUND(C21*E21,2)</f>
        <v>#REF!</v>
      </c>
      <c r="G21" s="141"/>
    </row>
    <row r="22" spans="1:8" s="315" customFormat="1" ht="20.25" customHeight="1">
      <c r="A22" s="229">
        <f t="shared" ref="A22:A58" si="4">A21+0.01</f>
        <v>3.0199999999999996</v>
      </c>
      <c r="B22" s="235" t="s">
        <v>927</v>
      </c>
      <c r="C22" s="139" t="e">
        <f>#REF!</f>
        <v>#REF!</v>
      </c>
      <c r="D22" s="139" t="s">
        <v>651</v>
      </c>
      <c r="E22" s="139" t="e">
        <f>+'ana A1'!$F$223</f>
        <v>#REF!</v>
      </c>
      <c r="F22" s="140" t="e">
        <f t="shared" ref="F22:F114" si="5">ROUND(C22*E22,2)</f>
        <v>#REF!</v>
      </c>
      <c r="G22" s="141"/>
    </row>
    <row r="23" spans="1:8" s="315" customFormat="1" ht="20.25" customHeight="1">
      <c r="A23" s="229">
        <f t="shared" si="4"/>
        <v>3.0299999999999994</v>
      </c>
      <c r="B23" s="235" t="s">
        <v>928</v>
      </c>
      <c r="C23" s="139" t="e">
        <f>#REF!</f>
        <v>#REF!</v>
      </c>
      <c r="D23" s="139" t="s">
        <v>651</v>
      </c>
      <c r="E23" s="139" t="e">
        <f>+'ana A1'!$M$203</f>
        <v>#REF!</v>
      </c>
      <c r="F23" s="140" t="e">
        <f t="shared" si="5"/>
        <v>#REF!</v>
      </c>
      <c r="G23" s="141"/>
    </row>
    <row r="24" spans="1:8" s="315" customFormat="1" ht="20.25" customHeight="1">
      <c r="A24" s="229">
        <f t="shared" si="4"/>
        <v>3.0399999999999991</v>
      </c>
      <c r="B24" s="235" t="s">
        <v>929</v>
      </c>
      <c r="C24" s="139" t="e">
        <f>#REF!</f>
        <v>#REF!</v>
      </c>
      <c r="D24" s="139" t="s">
        <v>651</v>
      </c>
      <c r="E24" s="139" t="e">
        <f>+'ana A1'!$M$213</f>
        <v>#REF!</v>
      </c>
      <c r="F24" s="140" t="e">
        <f t="shared" ref="F24" si="6">ROUND(C24*E24,2)</f>
        <v>#REF!</v>
      </c>
      <c r="G24" s="141"/>
    </row>
    <row r="25" spans="1:8" s="315" customFormat="1" ht="20.25" customHeight="1">
      <c r="A25" s="229">
        <f t="shared" si="4"/>
        <v>3.0499999999999989</v>
      </c>
      <c r="B25" s="235" t="s">
        <v>930</v>
      </c>
      <c r="C25" s="139" t="e">
        <f>#REF!</f>
        <v>#REF!</v>
      </c>
      <c r="D25" s="139" t="s">
        <v>651</v>
      </c>
      <c r="E25" s="139" t="e">
        <f>+'ana A1'!$F$203</f>
        <v>#REF!</v>
      </c>
      <c r="F25" s="140" t="e">
        <f t="shared" ref="F25" si="7">ROUND(C25*E25,2)</f>
        <v>#REF!</v>
      </c>
      <c r="G25" s="141"/>
    </row>
    <row r="26" spans="1:8" s="315" customFormat="1" ht="20.25" customHeight="1">
      <c r="A26" s="229">
        <f t="shared" si="4"/>
        <v>3.0599999999999987</v>
      </c>
      <c r="B26" s="235" t="s">
        <v>692</v>
      </c>
      <c r="C26" s="139" t="e">
        <f>#REF!</f>
        <v>#REF!</v>
      </c>
      <c r="D26" s="139" t="s">
        <v>651</v>
      </c>
      <c r="E26" s="139" t="e">
        <f>+'ana A1'!$F$213</f>
        <v>#REF!</v>
      </c>
      <c r="F26" s="140" t="e">
        <f t="shared" ref="F26" si="8">ROUND(C26*E26,2)</f>
        <v>#REF!</v>
      </c>
      <c r="G26" s="141"/>
    </row>
    <row r="27" spans="1:8" s="315" customFormat="1" ht="20.25" customHeight="1">
      <c r="A27" s="229">
        <f t="shared" si="4"/>
        <v>3.0699999999999985</v>
      </c>
      <c r="B27" s="235" t="s">
        <v>697</v>
      </c>
      <c r="C27" s="139" t="e">
        <f>#REF!</f>
        <v>#REF!</v>
      </c>
      <c r="D27" s="139" t="s">
        <v>651</v>
      </c>
      <c r="E27" s="139" t="e">
        <f>+'ana A1'!$F$234</f>
        <v>#REF!</v>
      </c>
      <c r="F27" s="140" t="e">
        <f t="shared" ref="F27:F28" si="9">ROUND(C27*E27,2)</f>
        <v>#REF!</v>
      </c>
      <c r="G27" s="141"/>
    </row>
    <row r="28" spans="1:8" s="315" customFormat="1" ht="20.25" customHeight="1">
      <c r="A28" s="229">
        <f t="shared" si="4"/>
        <v>3.0799999999999983</v>
      </c>
      <c r="B28" s="235" t="s">
        <v>949</v>
      </c>
      <c r="C28" s="139" t="e">
        <f>#REF!</f>
        <v>#REF!</v>
      </c>
      <c r="D28" s="139" t="s">
        <v>651</v>
      </c>
      <c r="E28" s="139" t="e">
        <f>'ana A1'!$M$171</f>
        <v>#REF!</v>
      </c>
      <c r="F28" s="140" t="e">
        <f t="shared" si="9"/>
        <v>#REF!</v>
      </c>
      <c r="G28" s="141"/>
    </row>
    <row r="29" spans="1:8" s="315" customFormat="1" ht="20.25" customHeight="1">
      <c r="A29" s="229">
        <f t="shared" si="4"/>
        <v>3.0899999999999981</v>
      </c>
      <c r="B29" s="235" t="s">
        <v>904</v>
      </c>
      <c r="C29" s="139" t="e">
        <f>#REF!</f>
        <v>#REF!</v>
      </c>
      <c r="D29" s="139" t="s">
        <v>651</v>
      </c>
      <c r="E29" s="139" t="e">
        <f>+'ana A1'!$M$223</f>
        <v>#REF!</v>
      </c>
      <c r="F29" s="140" t="e">
        <f t="shared" ref="F29" si="10">ROUND(C29*E29,2)</f>
        <v>#REF!</v>
      </c>
      <c r="G29" s="141"/>
    </row>
    <row r="30" spans="1:8" s="315" customFormat="1" ht="20.25" customHeight="1">
      <c r="A30" s="229">
        <f t="shared" si="4"/>
        <v>3.0999999999999979</v>
      </c>
      <c r="B30" s="232" t="s">
        <v>903</v>
      </c>
      <c r="C30" s="139" t="e">
        <f>#REF!</f>
        <v>#REF!</v>
      </c>
      <c r="D30" s="139" t="s">
        <v>651</v>
      </c>
      <c r="E30" s="139" t="e">
        <f>'ana A1'!$F$247</f>
        <v>#REF!</v>
      </c>
      <c r="F30" s="140" t="e">
        <f t="shared" si="5"/>
        <v>#REF!</v>
      </c>
      <c r="G30" s="141"/>
    </row>
    <row r="31" spans="1:8" s="315" customFormat="1" ht="20.25" customHeight="1">
      <c r="A31" s="229">
        <f t="shared" si="4"/>
        <v>3.1099999999999977</v>
      </c>
      <c r="B31" s="232" t="s">
        <v>902</v>
      </c>
      <c r="C31" s="139" t="e">
        <f>#REF!</f>
        <v>#REF!</v>
      </c>
      <c r="D31" s="139" t="s">
        <v>651</v>
      </c>
      <c r="E31" s="139" t="e">
        <f>'ana A1'!$M$247</f>
        <v>#REF!</v>
      </c>
      <c r="F31" s="140" t="e">
        <f t="shared" ref="F31" si="11">ROUND(C31*E31,2)</f>
        <v>#REF!</v>
      </c>
      <c r="G31" s="141"/>
    </row>
    <row r="32" spans="1:8" s="315" customFormat="1" ht="20.25" customHeight="1">
      <c r="A32" s="229">
        <f t="shared" si="4"/>
        <v>3.1199999999999974</v>
      </c>
      <c r="B32" s="232" t="s">
        <v>901</v>
      </c>
      <c r="C32" s="139" t="e">
        <f>#REF!</f>
        <v>#REF!</v>
      </c>
      <c r="D32" s="139" t="s">
        <v>651</v>
      </c>
      <c r="E32" s="139" t="e">
        <f>'ana A1'!$F$304</f>
        <v>#REF!</v>
      </c>
      <c r="F32" s="140" t="e">
        <f t="shared" ref="F32" si="12">ROUND(C32*E32,2)</f>
        <v>#REF!</v>
      </c>
      <c r="G32" s="141"/>
    </row>
    <row r="33" spans="1:8" s="315" customFormat="1" ht="20.25" customHeight="1">
      <c r="A33" s="229">
        <f t="shared" si="4"/>
        <v>3.1299999999999972</v>
      </c>
      <c r="B33" s="232" t="s">
        <v>900</v>
      </c>
      <c r="C33" s="139" t="e">
        <f>#REF!</f>
        <v>#REF!</v>
      </c>
      <c r="D33" s="139" t="s">
        <v>651</v>
      </c>
      <c r="E33" s="139" t="e">
        <f>'ana A1'!$F$357</f>
        <v>#REF!</v>
      </c>
      <c r="F33" s="140" t="e">
        <f t="shared" ref="F33:F35" si="13">ROUND(C33*E33,2)</f>
        <v>#REF!</v>
      </c>
      <c r="G33" s="141"/>
    </row>
    <row r="34" spans="1:8" s="315" customFormat="1" ht="29.25" customHeight="1">
      <c r="A34" s="229">
        <f t="shared" si="4"/>
        <v>3.139999999999997</v>
      </c>
      <c r="B34" s="234" t="s">
        <v>950</v>
      </c>
      <c r="C34" s="139" t="e">
        <f>#REF!</f>
        <v>#REF!</v>
      </c>
      <c r="D34" s="139" t="s">
        <v>651</v>
      </c>
      <c r="E34" s="139" t="e">
        <f>'ana A1'!$T$247</f>
        <v>#REF!</v>
      </c>
      <c r="F34" s="140" t="e">
        <f t="shared" si="13"/>
        <v>#REF!</v>
      </c>
      <c r="G34" s="141"/>
    </row>
    <row r="35" spans="1:8" s="315" customFormat="1" ht="20.25" customHeight="1">
      <c r="A35" s="229">
        <f t="shared" si="4"/>
        <v>3.1499999999999968</v>
      </c>
      <c r="B35" s="232" t="s">
        <v>931</v>
      </c>
      <c r="C35" s="139" t="e">
        <f>#REF!</f>
        <v>#REF!</v>
      </c>
      <c r="D35" s="139" t="s">
        <v>651</v>
      </c>
      <c r="E35" s="139" t="e">
        <f>'ana A1'!$M$304</f>
        <v>#REF!</v>
      </c>
      <c r="F35" s="140" t="e">
        <f t="shared" si="13"/>
        <v>#REF!</v>
      </c>
      <c r="G35" s="141"/>
    </row>
    <row r="36" spans="1:8" s="315" customFormat="1" ht="20.25" customHeight="1">
      <c r="A36" s="229">
        <f t="shared" si="4"/>
        <v>3.1599999999999966</v>
      </c>
      <c r="B36" s="232" t="s">
        <v>905</v>
      </c>
      <c r="C36" s="139" t="e">
        <f>#REF!</f>
        <v>#REF!</v>
      </c>
      <c r="D36" s="139" t="s">
        <v>651</v>
      </c>
      <c r="E36" s="139" t="e">
        <f>'ana A1'!$F$399</f>
        <v>#REF!</v>
      </c>
      <c r="F36" s="140" t="e">
        <f t="shared" si="5"/>
        <v>#REF!</v>
      </c>
      <c r="G36" s="141"/>
      <c r="H36" s="316"/>
    </row>
    <row r="37" spans="1:8" s="315" customFormat="1" ht="20.25" customHeight="1">
      <c r="A37" s="229">
        <f t="shared" si="4"/>
        <v>3.1699999999999964</v>
      </c>
      <c r="B37" s="232" t="s">
        <v>906</v>
      </c>
      <c r="C37" s="139" t="e">
        <f>#REF!</f>
        <v>#REF!</v>
      </c>
      <c r="D37" s="139" t="s">
        <v>651</v>
      </c>
      <c r="E37" s="139" t="e">
        <f>'ana A1'!$M$399</f>
        <v>#REF!</v>
      </c>
      <c r="F37" s="140" t="e">
        <f t="shared" si="5"/>
        <v>#REF!</v>
      </c>
      <c r="G37" s="141"/>
      <c r="H37" s="316"/>
    </row>
    <row r="38" spans="1:8" s="315" customFormat="1" ht="20.25" customHeight="1">
      <c r="A38" s="229">
        <f t="shared" si="4"/>
        <v>3.1799999999999962</v>
      </c>
      <c r="B38" s="232" t="s">
        <v>907</v>
      </c>
      <c r="C38" s="139" t="e">
        <f>#REF!</f>
        <v>#REF!</v>
      </c>
      <c r="D38" s="139" t="s">
        <v>651</v>
      </c>
      <c r="E38" s="139" t="e">
        <f>'ana A1'!$F$412</f>
        <v>#REF!</v>
      </c>
      <c r="F38" s="140" t="e">
        <f t="shared" ref="F38" si="14">ROUND(C38*E38,2)</f>
        <v>#REF!</v>
      </c>
      <c r="G38" s="141"/>
      <c r="H38" s="316"/>
    </row>
    <row r="39" spans="1:8" s="315" customFormat="1" ht="20.25" customHeight="1">
      <c r="A39" s="229">
        <f t="shared" si="4"/>
        <v>3.1899999999999959</v>
      </c>
      <c r="B39" s="232" t="s">
        <v>908</v>
      </c>
      <c r="C39" s="139" t="e">
        <f>#REF!</f>
        <v>#REF!</v>
      </c>
      <c r="D39" s="139" t="s">
        <v>651</v>
      </c>
      <c r="E39" s="139" t="e">
        <f>'ana A1'!$M$439</f>
        <v>#REF!</v>
      </c>
      <c r="F39" s="140" t="e">
        <f t="shared" ref="F39" si="15">ROUND(C39*E39,2)</f>
        <v>#REF!</v>
      </c>
      <c r="G39" s="141"/>
      <c r="H39" s="316"/>
    </row>
    <row r="40" spans="1:8" s="315" customFormat="1" ht="20.25" customHeight="1">
      <c r="A40" s="229">
        <f t="shared" si="4"/>
        <v>3.1999999999999957</v>
      </c>
      <c r="B40" s="232" t="s">
        <v>909</v>
      </c>
      <c r="C40" s="139" t="e">
        <f>#REF!</f>
        <v>#REF!</v>
      </c>
      <c r="D40" s="139" t="s">
        <v>651</v>
      </c>
      <c r="E40" s="139" t="e">
        <f>'ana A1'!$F$452</f>
        <v>#REF!</v>
      </c>
      <c r="F40" s="140" t="e">
        <f t="shared" ref="F40" si="16">ROUND(C40*E40,2)</f>
        <v>#REF!</v>
      </c>
      <c r="G40" s="141"/>
      <c r="H40" s="316"/>
    </row>
    <row r="41" spans="1:8" s="315" customFormat="1" ht="20.25" customHeight="1">
      <c r="A41" s="229">
        <f t="shared" si="4"/>
        <v>3.2099999999999955</v>
      </c>
      <c r="B41" s="232" t="s">
        <v>910</v>
      </c>
      <c r="C41" s="139" t="e">
        <f>#REF!</f>
        <v>#REF!</v>
      </c>
      <c r="D41" s="139" t="s">
        <v>651</v>
      </c>
      <c r="E41" s="139" t="e">
        <f>'ana A1'!$M$452</f>
        <v>#REF!</v>
      </c>
      <c r="F41" s="140" t="e">
        <f t="shared" ref="F41" si="17">ROUND(C41*E41,2)</f>
        <v>#REF!</v>
      </c>
      <c r="G41" s="141"/>
      <c r="H41" s="316"/>
    </row>
    <row r="42" spans="1:8" s="315" customFormat="1" ht="20.25" customHeight="1">
      <c r="A42" s="229">
        <f t="shared" si="4"/>
        <v>3.2199999999999953</v>
      </c>
      <c r="B42" s="232" t="s">
        <v>911</v>
      </c>
      <c r="C42" s="139" t="e">
        <f>#REF!</f>
        <v>#REF!</v>
      </c>
      <c r="D42" s="139" t="s">
        <v>651</v>
      </c>
      <c r="E42" s="139" t="e">
        <f>'ana A1'!$F$465</f>
        <v>#REF!</v>
      </c>
      <c r="F42" s="140" t="e">
        <f t="shared" ref="F42" si="18">ROUND(C42*E42,2)</f>
        <v>#REF!</v>
      </c>
      <c r="G42" s="141"/>
      <c r="H42" s="316"/>
    </row>
    <row r="43" spans="1:8" s="315" customFormat="1" ht="32.25" customHeight="1">
      <c r="A43" s="229">
        <f t="shared" si="4"/>
        <v>3.2299999999999951</v>
      </c>
      <c r="B43" s="234" t="s">
        <v>705</v>
      </c>
      <c r="C43" s="139" t="e">
        <f>#REF!</f>
        <v>#REF!</v>
      </c>
      <c r="D43" s="139" t="s">
        <v>651</v>
      </c>
      <c r="E43" s="139" t="e">
        <f>'ana A1'!$F$517</f>
        <v>#REF!</v>
      </c>
      <c r="F43" s="140" t="e">
        <f t="shared" ref="F43" si="19">ROUND(C43*E43,2)</f>
        <v>#REF!</v>
      </c>
      <c r="G43" s="141"/>
      <c r="H43" s="316"/>
    </row>
    <row r="44" spans="1:8" s="315" customFormat="1" ht="32.25" customHeight="1">
      <c r="A44" s="229">
        <f t="shared" si="4"/>
        <v>3.2399999999999949</v>
      </c>
      <c r="B44" s="234" t="s">
        <v>706</v>
      </c>
      <c r="C44" s="139" t="e">
        <f>#REF!</f>
        <v>#REF!</v>
      </c>
      <c r="D44" s="139" t="s">
        <v>651</v>
      </c>
      <c r="E44" s="139" t="e">
        <f>'ana A1'!$M$530</f>
        <v>#REF!</v>
      </c>
      <c r="F44" s="140" t="e">
        <f t="shared" ref="F44" si="20">ROUND(C44*E44,2)</f>
        <v>#REF!</v>
      </c>
      <c r="G44" s="141"/>
      <c r="H44" s="316"/>
    </row>
    <row r="45" spans="1:8" s="315" customFormat="1" ht="20.25" customHeight="1">
      <c r="A45" s="229">
        <f t="shared" si="4"/>
        <v>3.2499999999999947</v>
      </c>
      <c r="B45" s="232" t="s">
        <v>652</v>
      </c>
      <c r="C45" s="139" t="e">
        <f>#REF!</f>
        <v>#REF!</v>
      </c>
      <c r="D45" s="139" t="s">
        <v>651</v>
      </c>
      <c r="E45" s="139" t="e">
        <f>'ana A1'!$M$583</f>
        <v>#REF!</v>
      </c>
      <c r="F45" s="140" t="e">
        <f t="shared" si="5"/>
        <v>#REF!</v>
      </c>
      <c r="G45" s="141"/>
    </row>
    <row r="46" spans="1:8" s="315" customFormat="1" ht="20.25" customHeight="1">
      <c r="A46" s="229">
        <f t="shared" si="4"/>
        <v>3.2599999999999945</v>
      </c>
      <c r="B46" s="232" t="s">
        <v>708</v>
      </c>
      <c r="C46" s="139" t="e">
        <f>#REF!</f>
        <v>#REF!</v>
      </c>
      <c r="D46" s="139" t="s">
        <v>651</v>
      </c>
      <c r="E46" s="139" t="e">
        <f>'ana A1'!$F$569</f>
        <v>#REF!</v>
      </c>
      <c r="F46" s="140" t="e">
        <f t="shared" ref="F46" si="21">ROUND(C46*E46,2)</f>
        <v>#REF!</v>
      </c>
      <c r="G46" s="141"/>
    </row>
    <row r="47" spans="1:8" s="315" customFormat="1" ht="20.25" customHeight="1">
      <c r="A47" s="229">
        <f t="shared" si="4"/>
        <v>3.2699999999999942</v>
      </c>
      <c r="B47" s="232" t="s">
        <v>653</v>
      </c>
      <c r="C47" s="139" t="e">
        <f>#REF!</f>
        <v>#REF!</v>
      </c>
      <c r="D47" s="139" t="s">
        <v>651</v>
      </c>
      <c r="E47" s="139" t="e">
        <f>'ana A1'!$M$637</f>
        <v>#REF!</v>
      </c>
      <c r="F47" s="140" t="e">
        <f t="shared" si="5"/>
        <v>#REF!</v>
      </c>
      <c r="G47" s="141"/>
    </row>
    <row r="48" spans="1:8" s="315" customFormat="1" ht="20.25" customHeight="1">
      <c r="A48" s="229">
        <f t="shared" si="4"/>
        <v>3.279999999999994</v>
      </c>
      <c r="B48" s="232" t="s">
        <v>707</v>
      </c>
      <c r="C48" s="139" t="e">
        <f>#REF!</f>
        <v>#REF!</v>
      </c>
      <c r="D48" s="139" t="s">
        <v>651</v>
      </c>
      <c r="E48" s="139" t="e">
        <f>'ana A1'!$F$624</f>
        <v>#REF!</v>
      </c>
      <c r="F48" s="140" t="e">
        <f t="shared" ref="F48" si="22">ROUND(C48*E48,2)</f>
        <v>#REF!</v>
      </c>
      <c r="G48" s="141"/>
    </row>
    <row r="49" spans="1:7" s="315" customFormat="1" ht="33.75" customHeight="1">
      <c r="A49" s="229">
        <f t="shared" si="4"/>
        <v>3.2899999999999938</v>
      </c>
      <c r="B49" s="234" t="s">
        <v>709</v>
      </c>
      <c r="C49" s="139" t="e">
        <f>#REF!</f>
        <v>#REF!</v>
      </c>
      <c r="D49" s="139" t="s">
        <v>651</v>
      </c>
      <c r="E49" s="139" t="e">
        <f>'ana A1'!$G$1114</f>
        <v>#REF!</v>
      </c>
      <c r="F49" s="140" t="e">
        <f t="shared" si="5"/>
        <v>#REF!</v>
      </c>
      <c r="G49" s="141"/>
    </row>
    <row r="50" spans="1:7" s="315" customFormat="1" ht="31.5" customHeight="1">
      <c r="A50" s="229">
        <f t="shared" si="4"/>
        <v>3.2999999999999936</v>
      </c>
      <c r="B50" s="234" t="s">
        <v>750</v>
      </c>
      <c r="C50" s="139" t="e">
        <f>#REF!</f>
        <v>#REF!</v>
      </c>
      <c r="D50" s="139" t="s">
        <v>651</v>
      </c>
      <c r="E50" s="139" t="e">
        <f>'ana A1'!$G$1125</f>
        <v>#REF!</v>
      </c>
      <c r="F50" s="140" t="e">
        <f t="shared" ref="F50" si="23">ROUND(C50*E50,2)</f>
        <v>#REF!</v>
      </c>
      <c r="G50" s="141"/>
    </row>
    <row r="51" spans="1:7" s="315" customFormat="1" ht="18" customHeight="1">
      <c r="A51" s="229">
        <f t="shared" si="4"/>
        <v>3.3099999999999934</v>
      </c>
      <c r="B51" s="234" t="s">
        <v>915</v>
      </c>
      <c r="C51" s="139" t="e">
        <f>#REF!</f>
        <v>#REF!</v>
      </c>
      <c r="D51" s="139" t="s">
        <v>651</v>
      </c>
      <c r="E51" s="139" t="e">
        <f>'ana A1'!$G$1063</f>
        <v>#REF!</v>
      </c>
      <c r="F51" s="140" t="e">
        <f t="shared" si="5"/>
        <v>#REF!</v>
      </c>
      <c r="G51" s="141"/>
    </row>
    <row r="52" spans="1:7" s="315" customFormat="1" ht="20.25" customHeight="1">
      <c r="A52" s="229">
        <f t="shared" si="4"/>
        <v>3.3199999999999932</v>
      </c>
      <c r="B52" s="234" t="s">
        <v>710</v>
      </c>
      <c r="C52" s="139" t="e">
        <f>#REF!</f>
        <v>#REF!</v>
      </c>
      <c r="D52" s="139" t="s">
        <v>651</v>
      </c>
      <c r="E52" s="139" t="e">
        <f>'ana A1'!$F$676</f>
        <v>#REF!</v>
      </c>
      <c r="F52" s="140" t="e">
        <f t="shared" si="5"/>
        <v>#REF!</v>
      </c>
      <c r="G52" s="141"/>
    </row>
    <row r="53" spans="1:7" s="315" customFormat="1" ht="20.25" customHeight="1">
      <c r="A53" s="229">
        <f t="shared" si="4"/>
        <v>3.329999999999993</v>
      </c>
      <c r="B53" s="234" t="s">
        <v>913</v>
      </c>
      <c r="C53" s="139" t="e">
        <f>#REF!</f>
        <v>#REF!</v>
      </c>
      <c r="D53" s="139" t="s">
        <v>651</v>
      </c>
      <c r="E53" s="139" t="e">
        <f>'ana A1'!$M$809</f>
        <v>#REF!</v>
      </c>
      <c r="F53" s="140" t="e">
        <f t="shared" si="5"/>
        <v>#REF!</v>
      </c>
      <c r="G53" s="141"/>
    </row>
    <row r="54" spans="1:7" s="315" customFormat="1" ht="20.25" customHeight="1">
      <c r="A54" s="229">
        <f t="shared" si="4"/>
        <v>3.3399999999999928</v>
      </c>
      <c r="B54" s="234" t="s">
        <v>914</v>
      </c>
      <c r="C54" s="139" t="e">
        <f>#REF!</f>
        <v>#REF!</v>
      </c>
      <c r="D54" s="139" t="s">
        <v>651</v>
      </c>
      <c r="E54" s="139" t="e">
        <f>'ana A1'!$M$935</f>
        <v>#REF!</v>
      </c>
      <c r="F54" s="140" t="e">
        <f t="shared" ref="F54" si="24">ROUND(C54*E54,2)</f>
        <v>#REF!</v>
      </c>
      <c r="G54" s="141"/>
    </row>
    <row r="55" spans="1:7" s="315" customFormat="1" ht="31.5" customHeight="1">
      <c r="A55" s="229">
        <f t="shared" si="4"/>
        <v>3.3499999999999925</v>
      </c>
      <c r="B55" s="234" t="s">
        <v>912</v>
      </c>
      <c r="C55" s="139">
        <f>'ana A1'!E822</f>
        <v>29.27</v>
      </c>
      <c r="D55" s="139" t="s">
        <v>39</v>
      </c>
      <c r="E55" s="139" t="e">
        <f>'ana A1'!$G$821</f>
        <v>#REF!</v>
      </c>
      <c r="F55" s="140" t="e">
        <f t="shared" si="5"/>
        <v>#REF!</v>
      </c>
      <c r="G55" s="141"/>
    </row>
    <row r="56" spans="1:7" s="315" customFormat="1" ht="20.25" customHeight="1">
      <c r="A56" s="229">
        <f t="shared" si="4"/>
        <v>3.3599999999999923</v>
      </c>
      <c r="B56" s="234" t="s">
        <v>916</v>
      </c>
      <c r="C56" s="139" t="e">
        <f>#REF!</f>
        <v>#REF!</v>
      </c>
      <c r="D56" s="139" t="s">
        <v>658</v>
      </c>
      <c r="E56" s="139" t="e">
        <f>'ana A1'!$F$791</f>
        <v>#REF!</v>
      </c>
      <c r="F56" s="140" t="e">
        <f t="shared" si="5"/>
        <v>#REF!</v>
      </c>
      <c r="G56" s="141"/>
    </row>
    <row r="57" spans="1:7" s="315" customFormat="1" ht="20.25" customHeight="1">
      <c r="A57" s="229">
        <f t="shared" si="4"/>
        <v>3.3699999999999921</v>
      </c>
      <c r="B57" s="234" t="s">
        <v>758</v>
      </c>
      <c r="C57" s="139" t="e">
        <f>#REF!</f>
        <v>#REF!</v>
      </c>
      <c r="D57" s="139" t="s">
        <v>658</v>
      </c>
      <c r="E57" s="139" t="e">
        <f>'ana A1'!$M$761</f>
        <v>#REF!</v>
      </c>
      <c r="F57" s="140" t="e">
        <f t="shared" ref="F57" si="25">ROUND(C57*E57,2)</f>
        <v>#REF!</v>
      </c>
      <c r="G57" s="141"/>
    </row>
    <row r="58" spans="1:7" s="315" customFormat="1" ht="30" customHeight="1">
      <c r="A58" s="229">
        <f t="shared" si="4"/>
        <v>3.3799999999999919</v>
      </c>
      <c r="B58" s="234" t="s">
        <v>799</v>
      </c>
      <c r="C58" s="139" t="e">
        <f>#REF!</f>
        <v>#REF!</v>
      </c>
      <c r="D58" s="139" t="s">
        <v>658</v>
      </c>
      <c r="E58" s="139" t="e">
        <f>'ana A1'!$F$761</f>
        <v>#REF!</v>
      </c>
      <c r="F58" s="140" t="e">
        <f t="shared" si="5"/>
        <v>#REF!</v>
      </c>
      <c r="G58" s="141" t="e">
        <f>SUM(F21:F58)</f>
        <v>#REF!</v>
      </c>
    </row>
    <row r="59" spans="1:7" s="315" customFormat="1" ht="20.25" customHeight="1">
      <c r="A59" s="231">
        <f>A20+1</f>
        <v>4</v>
      </c>
      <c r="B59" s="230" t="s">
        <v>654</v>
      </c>
      <c r="C59" s="139"/>
      <c r="D59" s="139"/>
      <c r="E59" s="139"/>
      <c r="F59" s="140"/>
      <c r="G59" s="141"/>
    </row>
    <row r="60" spans="1:7" s="315" customFormat="1" ht="21" customHeight="1">
      <c r="A60" s="229">
        <f t="shared" ref="A60:A124" si="26">A59+0.01</f>
        <v>4.01</v>
      </c>
      <c r="B60" s="234" t="s">
        <v>883</v>
      </c>
      <c r="C60" s="139" t="e">
        <f>#REF!</f>
        <v>#REF!</v>
      </c>
      <c r="D60" s="139" t="s">
        <v>438</v>
      </c>
      <c r="E60" s="139" t="e">
        <f>#REF!</f>
        <v>#REF!</v>
      </c>
      <c r="F60" s="140" t="e">
        <f t="shared" ref="F60:F64" si="27">ROUND(C60*E60,2)</f>
        <v>#REF!</v>
      </c>
      <c r="G60" s="141"/>
    </row>
    <row r="61" spans="1:7" s="315" customFormat="1" ht="21" customHeight="1">
      <c r="A61" s="229">
        <f t="shared" si="26"/>
        <v>4.0199999999999996</v>
      </c>
      <c r="B61" s="234" t="s">
        <v>751</v>
      </c>
      <c r="C61" s="139" t="e">
        <f>#REF!</f>
        <v>#REF!</v>
      </c>
      <c r="D61" s="139" t="s">
        <v>438</v>
      </c>
      <c r="E61" s="139" t="e">
        <f>#REF!</f>
        <v>#REF!</v>
      </c>
      <c r="F61" s="140" t="e">
        <f t="shared" si="27"/>
        <v>#REF!</v>
      </c>
      <c r="G61" s="141"/>
    </row>
    <row r="62" spans="1:7" s="315" customFormat="1" ht="33" customHeight="1">
      <c r="A62" s="229">
        <f t="shared" si="26"/>
        <v>4.0299999999999994</v>
      </c>
      <c r="B62" s="234" t="s">
        <v>892</v>
      </c>
      <c r="C62" s="139" t="e">
        <f>#REF!</f>
        <v>#REF!</v>
      </c>
      <c r="D62" s="139" t="s">
        <v>438</v>
      </c>
      <c r="E62" s="139" t="e">
        <f>#REF!</f>
        <v>#REF!</v>
      </c>
      <c r="F62" s="140" t="e">
        <f t="shared" si="27"/>
        <v>#REF!</v>
      </c>
      <c r="G62" s="141"/>
    </row>
    <row r="63" spans="1:7" s="315" customFormat="1" ht="33.75" customHeight="1">
      <c r="A63" s="229">
        <f t="shared" si="26"/>
        <v>4.0399999999999991</v>
      </c>
      <c r="B63" s="234" t="s">
        <v>893</v>
      </c>
      <c r="C63" s="139" t="e">
        <f>+#REF!</f>
        <v>#REF!</v>
      </c>
      <c r="D63" s="139" t="s">
        <v>438</v>
      </c>
      <c r="E63" s="139" t="e">
        <f>#REF!</f>
        <v>#REF!</v>
      </c>
      <c r="F63" s="140" t="e">
        <f t="shared" si="27"/>
        <v>#REF!</v>
      </c>
      <c r="G63" s="141"/>
    </row>
    <row r="64" spans="1:7" s="315" customFormat="1" ht="21" customHeight="1">
      <c r="A64" s="229">
        <f t="shared" si="26"/>
        <v>4.0499999999999989</v>
      </c>
      <c r="B64" s="234" t="s">
        <v>924</v>
      </c>
      <c r="C64" s="139" t="e">
        <f>#REF!</f>
        <v>#REF!</v>
      </c>
      <c r="D64" s="139" t="s">
        <v>438</v>
      </c>
      <c r="E64" s="139" t="e">
        <f>#REF!</f>
        <v>#REF!</v>
      </c>
      <c r="F64" s="140" t="e">
        <f t="shared" si="27"/>
        <v>#REF!</v>
      </c>
      <c r="G64" s="141"/>
    </row>
    <row r="65" spans="1:7" s="315" customFormat="1" ht="21" customHeight="1">
      <c r="A65" s="229">
        <f t="shared" si="26"/>
        <v>4.0599999999999987</v>
      </c>
      <c r="B65" s="234" t="s">
        <v>925</v>
      </c>
      <c r="C65" s="139" t="e">
        <f>#REF!</f>
        <v>#REF!</v>
      </c>
      <c r="D65" s="139" t="s">
        <v>438</v>
      </c>
      <c r="E65" s="139" t="e">
        <f>#REF!</f>
        <v>#REF!</v>
      </c>
      <c r="F65" s="140" t="e">
        <f t="shared" ref="F65" si="28">ROUND(C65*E65,2)</f>
        <v>#REF!</v>
      </c>
      <c r="G65" s="141"/>
    </row>
    <row r="66" spans="1:7" s="315" customFormat="1" ht="20.25" customHeight="1">
      <c r="A66" s="229">
        <f t="shared" si="26"/>
        <v>4.0699999999999985</v>
      </c>
      <c r="B66" s="234" t="s">
        <v>732</v>
      </c>
      <c r="C66" s="139" t="e">
        <f>#REF!</f>
        <v>#REF!</v>
      </c>
      <c r="D66" s="139" t="s">
        <v>438</v>
      </c>
      <c r="E66" s="139" t="e">
        <f>#REF!</f>
        <v>#REF!</v>
      </c>
      <c r="F66" s="140" t="e">
        <f t="shared" ref="F66" si="29">ROUND(C66*E66,2)</f>
        <v>#REF!</v>
      </c>
      <c r="G66" s="141" t="e">
        <f>SUM(F60:F66)</f>
        <v>#REF!</v>
      </c>
    </row>
    <row r="67" spans="1:7" s="315" customFormat="1" ht="20.25" customHeight="1">
      <c r="A67" s="231">
        <f>A59+1</f>
        <v>5</v>
      </c>
      <c r="B67" s="230" t="s">
        <v>480</v>
      </c>
      <c r="C67" s="139"/>
      <c r="D67" s="139"/>
      <c r="E67" s="139"/>
      <c r="F67" s="140"/>
      <c r="G67" s="141"/>
    </row>
    <row r="68" spans="1:7" s="315" customFormat="1" ht="20.25" customHeight="1">
      <c r="A68" s="229">
        <f t="shared" si="26"/>
        <v>5.01</v>
      </c>
      <c r="B68" s="232" t="s">
        <v>223</v>
      </c>
      <c r="C68" s="139" t="e">
        <f>#REF!</f>
        <v>#REF!</v>
      </c>
      <c r="D68" s="139" t="s">
        <v>438</v>
      </c>
      <c r="E68" s="139">
        <f>'ana A1'!$F$55</f>
        <v>125.82370457166</v>
      </c>
      <c r="F68" s="140" t="e">
        <f t="shared" si="5"/>
        <v>#REF!</v>
      </c>
      <c r="G68" s="141"/>
    </row>
    <row r="69" spans="1:7" s="315" customFormat="1" ht="20.25" customHeight="1">
      <c r="A69" s="229">
        <f t="shared" si="26"/>
        <v>5.0199999999999996</v>
      </c>
      <c r="B69" s="232" t="s">
        <v>655</v>
      </c>
      <c r="C69" s="139" t="e">
        <f>#REF!</f>
        <v>#REF!</v>
      </c>
      <c r="D69" s="139" t="s">
        <v>438</v>
      </c>
      <c r="E69" s="139" t="e">
        <f>#REF!</f>
        <v>#REF!</v>
      </c>
      <c r="F69" s="140" t="e">
        <f t="shared" si="5"/>
        <v>#REF!</v>
      </c>
      <c r="G69" s="141"/>
    </row>
    <row r="70" spans="1:7" s="315" customFormat="1" ht="20.25" customHeight="1">
      <c r="A70" s="229">
        <f t="shared" si="26"/>
        <v>5.0299999999999994</v>
      </c>
      <c r="B70" s="232" t="s">
        <v>656</v>
      </c>
      <c r="C70" s="139" t="e">
        <f>#REF!</f>
        <v>#REF!</v>
      </c>
      <c r="D70" s="139" t="s">
        <v>438</v>
      </c>
      <c r="E70" s="139" t="e">
        <f>#REF!</f>
        <v>#REF!</v>
      </c>
      <c r="F70" s="140" t="e">
        <f t="shared" si="5"/>
        <v>#REF!</v>
      </c>
      <c r="G70" s="141"/>
    </row>
    <row r="71" spans="1:7" s="315" customFormat="1" ht="20.25" customHeight="1">
      <c r="A71" s="229">
        <f t="shared" si="26"/>
        <v>5.0399999999999991</v>
      </c>
      <c r="B71" s="232" t="s">
        <v>657</v>
      </c>
      <c r="C71" s="139" t="e">
        <f>#REF!</f>
        <v>#REF!</v>
      </c>
      <c r="D71" s="139" t="s">
        <v>438</v>
      </c>
      <c r="E71" s="338" t="e">
        <f>#REF!</f>
        <v>#REF!</v>
      </c>
      <c r="F71" s="140" t="e">
        <f t="shared" si="5"/>
        <v>#REF!</v>
      </c>
      <c r="G71" s="141"/>
    </row>
    <row r="72" spans="1:7" s="315" customFormat="1" ht="20.25" customHeight="1">
      <c r="A72" s="229">
        <f t="shared" si="26"/>
        <v>5.0499999999999989</v>
      </c>
      <c r="B72" s="232" t="s">
        <v>674</v>
      </c>
      <c r="C72" s="139" t="e">
        <f>#REF!</f>
        <v>#REF!</v>
      </c>
      <c r="D72" s="139" t="s">
        <v>658</v>
      </c>
      <c r="E72" s="338" t="e">
        <f>#REF!</f>
        <v>#REF!</v>
      </c>
      <c r="F72" s="140" t="e">
        <f t="shared" si="5"/>
        <v>#REF!</v>
      </c>
      <c r="G72" s="141"/>
    </row>
    <row r="73" spans="1:7" s="315" customFormat="1" ht="20.25" customHeight="1">
      <c r="A73" s="229">
        <f t="shared" si="26"/>
        <v>5.0599999999999987</v>
      </c>
      <c r="B73" s="232" t="s">
        <v>35</v>
      </c>
      <c r="C73" s="139" t="e">
        <f>#REF!</f>
        <v>#REF!</v>
      </c>
      <c r="D73" s="139" t="s">
        <v>658</v>
      </c>
      <c r="E73" s="139" t="e">
        <f>#REF!</f>
        <v>#REF!</v>
      </c>
      <c r="F73" s="140" t="e">
        <f t="shared" si="5"/>
        <v>#REF!</v>
      </c>
      <c r="G73" s="141" t="e">
        <f>SUM(F68:F73)</f>
        <v>#REF!</v>
      </c>
    </row>
    <row r="74" spans="1:7" s="315" customFormat="1" ht="20.25" customHeight="1">
      <c r="A74" s="231">
        <f>A67+1</f>
        <v>6</v>
      </c>
      <c r="B74" s="230" t="s">
        <v>659</v>
      </c>
      <c r="C74" s="139"/>
      <c r="D74" s="139"/>
      <c r="E74" s="139"/>
      <c r="F74" s="140"/>
      <c r="G74" s="141"/>
    </row>
    <row r="75" spans="1:7" s="315" customFormat="1" ht="33" customHeight="1">
      <c r="A75" s="237">
        <f>A74+0.01</f>
        <v>6.01</v>
      </c>
      <c r="B75" s="234" t="s">
        <v>917</v>
      </c>
      <c r="C75" s="139" t="e">
        <f>#REF!</f>
        <v>#REF!</v>
      </c>
      <c r="D75" s="139" t="s">
        <v>438</v>
      </c>
      <c r="E75" s="139">
        <v>723.06999999999994</v>
      </c>
      <c r="F75" s="140" t="e">
        <f t="shared" ref="F75" si="30">ROUND(C75*E75,2)</f>
        <v>#REF!</v>
      </c>
      <c r="G75" s="141"/>
    </row>
    <row r="76" spans="1:7" s="315" customFormat="1" ht="20.25" customHeight="1">
      <c r="A76" s="237">
        <f t="shared" ref="A76:A80" si="31">A75+0.01</f>
        <v>6.02</v>
      </c>
      <c r="B76" s="234" t="s">
        <v>918</v>
      </c>
      <c r="C76" s="139" t="e">
        <f>#REF!</f>
        <v>#REF!</v>
      </c>
      <c r="D76" s="139" t="s">
        <v>438</v>
      </c>
      <c r="E76" s="139">
        <v>1854.48</v>
      </c>
      <c r="F76" s="140" t="e">
        <f t="shared" si="5"/>
        <v>#REF!</v>
      </c>
      <c r="G76" s="141"/>
    </row>
    <row r="77" spans="1:7" s="315" customFormat="1" ht="20.25" customHeight="1">
      <c r="A77" s="237">
        <f t="shared" si="31"/>
        <v>6.0299999999999994</v>
      </c>
      <c r="B77" s="234" t="s">
        <v>797</v>
      </c>
      <c r="C77" s="139" t="e">
        <f>#REF!</f>
        <v>#REF!</v>
      </c>
      <c r="D77" s="139" t="s">
        <v>438</v>
      </c>
      <c r="E77" s="139">
        <v>1470.93</v>
      </c>
      <c r="F77" s="140" t="e">
        <f t="shared" si="5"/>
        <v>#REF!</v>
      </c>
      <c r="G77" s="141"/>
    </row>
    <row r="78" spans="1:7" s="315" customFormat="1" ht="20.25" customHeight="1">
      <c r="A78" s="237">
        <f t="shared" si="31"/>
        <v>6.0399999999999991</v>
      </c>
      <c r="B78" s="234" t="s">
        <v>919</v>
      </c>
      <c r="C78" s="139">
        <v>573.12</v>
      </c>
      <c r="D78" s="139" t="s">
        <v>479</v>
      </c>
      <c r="E78" s="139">
        <v>240.02</v>
      </c>
      <c r="F78" s="140">
        <f t="shared" si="5"/>
        <v>137560.26</v>
      </c>
    </row>
    <row r="79" spans="1:7" s="315" customFormat="1" ht="20.25" customHeight="1">
      <c r="A79" s="237">
        <f t="shared" si="31"/>
        <v>6.0499999999999989</v>
      </c>
      <c r="B79" s="235" t="s">
        <v>798</v>
      </c>
      <c r="C79" s="139" t="e">
        <f>#REF!</f>
        <v>#REF!</v>
      </c>
      <c r="D79" s="139" t="s">
        <v>479</v>
      </c>
      <c r="E79" s="139" t="e">
        <f>#REF!</f>
        <v>#REF!</v>
      </c>
      <c r="F79" s="140" t="e">
        <f t="shared" si="5"/>
        <v>#REF!</v>
      </c>
    </row>
    <row r="80" spans="1:7" s="315" customFormat="1" ht="20.25" customHeight="1">
      <c r="A80" s="237">
        <f t="shared" si="31"/>
        <v>6.0599999999999987</v>
      </c>
      <c r="B80" s="235" t="s">
        <v>761</v>
      </c>
      <c r="C80" s="139" t="e">
        <f>#REF!</f>
        <v>#REF!</v>
      </c>
      <c r="D80" s="139" t="s">
        <v>479</v>
      </c>
      <c r="E80" s="139" t="e">
        <f>#REF!</f>
        <v>#REF!</v>
      </c>
      <c r="F80" s="140" t="e">
        <f t="shared" ref="F80" si="32">ROUND(C80*E80,2)</f>
        <v>#REF!</v>
      </c>
      <c r="G80" s="141" t="e">
        <f>SUM(F75:F80)</f>
        <v>#REF!</v>
      </c>
    </row>
    <row r="81" spans="1:7" s="315" customFormat="1" ht="20.25" customHeight="1">
      <c r="A81" s="231">
        <v>7</v>
      </c>
      <c r="B81" s="230" t="s">
        <v>660</v>
      </c>
      <c r="C81" s="139"/>
      <c r="D81" s="139"/>
      <c r="E81" s="139"/>
      <c r="F81" s="140"/>
      <c r="G81" s="141"/>
    </row>
    <row r="82" spans="1:7" s="315" customFormat="1" ht="20.25" customHeight="1">
      <c r="A82" s="229">
        <f t="shared" si="26"/>
        <v>7.01</v>
      </c>
      <c r="B82" s="232" t="s">
        <v>920</v>
      </c>
      <c r="C82" s="139" t="e">
        <f>#REF!</f>
        <v>#REF!</v>
      </c>
      <c r="D82" s="139" t="s">
        <v>438</v>
      </c>
      <c r="E82" s="139" t="e">
        <f>#REF!</f>
        <v>#REF!</v>
      </c>
      <c r="F82" s="140" t="e">
        <f t="shared" si="5"/>
        <v>#REF!</v>
      </c>
      <c r="G82" s="141" t="e">
        <f>SUM(F82)</f>
        <v>#REF!</v>
      </c>
    </row>
    <row r="83" spans="1:7" s="315" customFormat="1" ht="20.25" customHeight="1">
      <c r="A83" s="231">
        <v>8</v>
      </c>
      <c r="B83" s="230" t="s">
        <v>677</v>
      </c>
      <c r="C83" s="139"/>
      <c r="D83" s="139"/>
      <c r="E83" s="139"/>
      <c r="F83" s="140"/>
      <c r="G83" s="141"/>
    </row>
    <row r="84" spans="1:7" s="315" customFormat="1" ht="20.25" customHeight="1">
      <c r="A84" s="229">
        <f t="shared" si="26"/>
        <v>8.01</v>
      </c>
      <c r="B84" s="232" t="s">
        <v>21</v>
      </c>
      <c r="C84" s="139" t="e">
        <f>#REF!</f>
        <v>#REF!</v>
      </c>
      <c r="D84" s="139" t="s">
        <v>658</v>
      </c>
      <c r="E84" s="139" t="e">
        <f>#REF!</f>
        <v>#REF!</v>
      </c>
      <c r="F84" s="140" t="e">
        <f t="shared" si="5"/>
        <v>#REF!</v>
      </c>
      <c r="G84" s="141"/>
    </row>
    <row r="85" spans="1:7" s="315" customFormat="1" ht="20.25" customHeight="1">
      <c r="A85" s="229">
        <f t="shared" si="26"/>
        <v>8.02</v>
      </c>
      <c r="B85" s="232" t="s">
        <v>678</v>
      </c>
      <c r="C85" s="139" t="e">
        <f>#REF!</f>
        <v>#REF!</v>
      </c>
      <c r="D85" s="139" t="s">
        <v>438</v>
      </c>
      <c r="E85" s="139">
        <f>$E$76</f>
        <v>1854.48</v>
      </c>
      <c r="F85" s="140" t="e">
        <f t="shared" si="5"/>
        <v>#REF!</v>
      </c>
      <c r="G85" s="141"/>
    </row>
    <row r="86" spans="1:7" s="315" customFormat="1" ht="20.25" customHeight="1">
      <c r="A86" s="229">
        <f t="shared" si="26"/>
        <v>8.0299999999999994</v>
      </c>
      <c r="B86" s="232" t="s">
        <v>762</v>
      </c>
      <c r="C86" s="139" t="e">
        <f>#REF!</f>
        <v>#REF!</v>
      </c>
      <c r="D86" s="139" t="s">
        <v>679</v>
      </c>
      <c r="E86" s="139" t="e">
        <f>#REF!</f>
        <v>#REF!</v>
      </c>
      <c r="F86" s="140" t="e">
        <f t="shared" si="5"/>
        <v>#REF!</v>
      </c>
      <c r="G86" s="141" t="e">
        <f>SUM(F84:F86)</f>
        <v>#REF!</v>
      </c>
    </row>
    <row r="87" spans="1:7" s="315" customFormat="1" ht="20.25" customHeight="1">
      <c r="A87" s="231">
        <v>9</v>
      </c>
      <c r="B87" s="230" t="s">
        <v>661</v>
      </c>
      <c r="C87" s="139"/>
      <c r="D87" s="139"/>
      <c r="E87" s="139"/>
      <c r="F87" s="140"/>
      <c r="G87" s="141"/>
    </row>
    <row r="88" spans="1:7" s="315" customFormat="1" ht="32.25" customHeight="1">
      <c r="A88" s="229">
        <f t="shared" si="26"/>
        <v>9.01</v>
      </c>
      <c r="B88" s="398" t="s">
        <v>974</v>
      </c>
      <c r="C88" s="399">
        <f>1*1.1*16</f>
        <v>17.600000000000001</v>
      </c>
      <c r="D88" s="400" t="s">
        <v>438</v>
      </c>
      <c r="E88" s="139">
        <v>8814.1</v>
      </c>
      <c r="F88" s="140">
        <f>ROUND(C88*E88,2)</f>
        <v>155128.16</v>
      </c>
    </row>
    <row r="89" spans="1:7" s="315" customFormat="1" ht="32.25" customHeight="1">
      <c r="A89" s="229">
        <f t="shared" si="26"/>
        <v>9.02</v>
      </c>
      <c r="B89" s="398" t="s">
        <v>975</v>
      </c>
      <c r="C89" s="399">
        <f>1*0.6*16</f>
        <v>9.6</v>
      </c>
      <c r="D89" s="400" t="s">
        <v>438</v>
      </c>
      <c r="E89" s="139">
        <v>8814.1</v>
      </c>
      <c r="F89" s="140">
        <f t="shared" ref="F89:F98" si="33">ROUND(C89*E89,2)</f>
        <v>84615.360000000001</v>
      </c>
    </row>
    <row r="90" spans="1:7" s="315" customFormat="1" ht="32.25" customHeight="1">
      <c r="A90" s="229">
        <f t="shared" si="26"/>
        <v>9.0299999999999994</v>
      </c>
      <c r="B90" s="398" t="s">
        <v>976</v>
      </c>
      <c r="C90" s="399">
        <f>1.2*1.1</f>
        <v>1.32</v>
      </c>
      <c r="D90" s="400" t="s">
        <v>438</v>
      </c>
      <c r="E90" s="139">
        <v>8814.1</v>
      </c>
      <c r="F90" s="140">
        <f>ROUND(C90*E90,2)</f>
        <v>11634.61</v>
      </c>
    </row>
    <row r="91" spans="1:7" s="315" customFormat="1" ht="36.75" customHeight="1">
      <c r="A91" s="229">
        <f>A89+0.01</f>
        <v>9.0299999999999994</v>
      </c>
      <c r="B91" s="398" t="s">
        <v>954</v>
      </c>
      <c r="C91" s="399">
        <f>16*1*2.1+16*0.4*1.1*2</f>
        <v>47.680000000000007</v>
      </c>
      <c r="D91" s="400" t="s">
        <v>438</v>
      </c>
      <c r="E91" s="139">
        <v>9000</v>
      </c>
      <c r="F91" s="140">
        <f t="shared" si="33"/>
        <v>429120</v>
      </c>
    </row>
    <row r="92" spans="1:7" s="315" customFormat="1" ht="36.75" customHeight="1">
      <c r="A92" s="229">
        <f t="shared" si="26"/>
        <v>9.0399999999999991</v>
      </c>
      <c r="B92" s="398" t="s">
        <v>956</v>
      </c>
      <c r="C92" s="399">
        <f>8*1*2.1+0.88*2.1*8</f>
        <v>31.584000000000003</v>
      </c>
      <c r="D92" s="400" t="s">
        <v>438</v>
      </c>
      <c r="E92" s="139">
        <v>9000</v>
      </c>
      <c r="F92" s="140">
        <f t="shared" si="33"/>
        <v>284256</v>
      </c>
    </row>
    <row r="93" spans="1:7" s="315" customFormat="1" ht="33" customHeight="1">
      <c r="A93" s="229">
        <f t="shared" si="26"/>
        <v>9.0499999999999989</v>
      </c>
      <c r="B93" s="398" t="s">
        <v>955</v>
      </c>
      <c r="C93" s="399">
        <f>2*2.1+1.5*2.1*2</f>
        <v>10.5</v>
      </c>
      <c r="D93" s="400" t="s">
        <v>438</v>
      </c>
      <c r="E93" s="139">
        <v>9000</v>
      </c>
      <c r="F93" s="140">
        <f t="shared" si="33"/>
        <v>94500</v>
      </c>
    </row>
    <row r="94" spans="1:7" s="315" customFormat="1" ht="36.75" customHeight="1">
      <c r="A94" s="229">
        <f t="shared" si="26"/>
        <v>9.0599999999999987</v>
      </c>
      <c r="B94" s="398" t="s">
        <v>960</v>
      </c>
      <c r="C94" s="399">
        <f>2*2*2.1+0.75*2*2.1*2</f>
        <v>14.700000000000001</v>
      </c>
      <c r="D94" s="400" t="s">
        <v>438</v>
      </c>
      <c r="E94" s="139">
        <v>9000</v>
      </c>
      <c r="F94" s="140">
        <f t="shared" si="33"/>
        <v>132300</v>
      </c>
    </row>
    <row r="95" spans="1:7" s="315" customFormat="1" ht="30" customHeight="1">
      <c r="A95" s="229">
        <f t="shared" si="26"/>
        <v>9.0699999999999985</v>
      </c>
      <c r="B95" s="398" t="s">
        <v>959</v>
      </c>
      <c r="C95" s="399">
        <f>2*2*2.1</f>
        <v>8.4</v>
      </c>
      <c r="D95" s="400" t="s">
        <v>438</v>
      </c>
      <c r="E95" s="139">
        <v>9000</v>
      </c>
      <c r="F95" s="140">
        <f t="shared" si="33"/>
        <v>75600</v>
      </c>
    </row>
    <row r="96" spans="1:7" s="315" customFormat="1" ht="34.5" customHeight="1">
      <c r="A96" s="229">
        <f t="shared" si="26"/>
        <v>9.0799999999999983</v>
      </c>
      <c r="B96" s="398" t="s">
        <v>961</v>
      </c>
      <c r="C96" s="399">
        <f>4*1*2.1+4*0.4*2.1</f>
        <v>11.760000000000002</v>
      </c>
      <c r="D96" s="400" t="s">
        <v>438</v>
      </c>
      <c r="E96" s="139">
        <v>9000</v>
      </c>
      <c r="F96" s="140">
        <f t="shared" si="33"/>
        <v>105840</v>
      </c>
    </row>
    <row r="97" spans="1:9" s="315" customFormat="1" ht="21" customHeight="1">
      <c r="A97" s="229">
        <f t="shared" si="26"/>
        <v>9.0899999999999981</v>
      </c>
      <c r="B97" s="234" t="s">
        <v>981</v>
      </c>
      <c r="C97" s="139" t="e">
        <f>#REF!</f>
        <v>#REF!</v>
      </c>
      <c r="D97" s="240" t="s">
        <v>24</v>
      </c>
      <c r="E97" s="139">
        <v>1407.545175490779</v>
      </c>
      <c r="F97" s="140" t="e">
        <f t="shared" si="33"/>
        <v>#REF!</v>
      </c>
      <c r="I97" s="320"/>
    </row>
    <row r="98" spans="1:9" s="315" customFormat="1" ht="20.25" customHeight="1">
      <c r="A98" s="229">
        <f t="shared" si="26"/>
        <v>9.0999999999999979</v>
      </c>
      <c r="B98" s="356" t="s">
        <v>980</v>
      </c>
      <c r="C98" s="139" t="e">
        <f>#REF!</f>
        <v>#REF!</v>
      </c>
      <c r="D98" s="240" t="s">
        <v>24</v>
      </c>
      <c r="E98" s="139">
        <v>1407.545175490779</v>
      </c>
      <c r="F98" s="140" t="e">
        <f t="shared" si="33"/>
        <v>#REF!</v>
      </c>
      <c r="G98" s="141" t="e">
        <f>SUM(F88:F98)</f>
        <v>#REF!</v>
      </c>
      <c r="H98" s="315">
        <v>2283.9899999999998</v>
      </c>
      <c r="I98" s="320"/>
    </row>
    <row r="99" spans="1:9" s="315" customFormat="1" ht="20.25" customHeight="1">
      <c r="A99" s="238">
        <v>10</v>
      </c>
      <c r="B99" s="239" t="s">
        <v>662</v>
      </c>
      <c r="C99" s="240"/>
      <c r="D99" s="240"/>
      <c r="E99" s="240"/>
      <c r="F99" s="142"/>
      <c r="G99" s="143"/>
    </row>
    <row r="100" spans="1:9" s="315" customFormat="1" ht="20.25" customHeight="1">
      <c r="A100" s="229">
        <f t="shared" si="26"/>
        <v>10.01</v>
      </c>
      <c r="B100" s="398" t="s">
        <v>965</v>
      </c>
      <c r="C100" s="139">
        <v>16</v>
      </c>
      <c r="D100" s="240" t="s">
        <v>16</v>
      </c>
      <c r="E100" s="139">
        <v>8500</v>
      </c>
      <c r="F100" s="142">
        <f t="shared" si="5"/>
        <v>136000</v>
      </c>
      <c r="G100" s="141"/>
    </row>
    <row r="101" spans="1:9" s="315" customFormat="1" ht="31.5" customHeight="1">
      <c r="A101" s="229">
        <f t="shared" si="26"/>
        <v>10.02</v>
      </c>
      <c r="B101" s="398" t="s">
        <v>957</v>
      </c>
      <c r="C101" s="399">
        <v>2</v>
      </c>
      <c r="D101" s="400" t="s">
        <v>16</v>
      </c>
      <c r="E101" s="139">
        <v>30000</v>
      </c>
      <c r="F101" s="142">
        <f t="shared" si="5"/>
        <v>60000</v>
      </c>
      <c r="G101" s="141"/>
    </row>
    <row r="102" spans="1:9" s="315" customFormat="1" ht="20.25" customHeight="1">
      <c r="A102" s="229">
        <f t="shared" si="26"/>
        <v>10.029999999999999</v>
      </c>
      <c r="B102" s="398" t="s">
        <v>958</v>
      </c>
      <c r="C102" s="399">
        <v>1</v>
      </c>
      <c r="D102" s="400" t="s">
        <v>16</v>
      </c>
      <c r="E102" s="139">
        <v>8500</v>
      </c>
      <c r="F102" s="142">
        <f t="shared" si="5"/>
        <v>8500</v>
      </c>
      <c r="G102" s="141"/>
    </row>
    <row r="103" spans="1:9" s="315" customFormat="1" ht="19.5" customHeight="1">
      <c r="A103" s="229">
        <f t="shared" si="26"/>
        <v>10.039999999999999</v>
      </c>
      <c r="B103" s="398" t="s">
        <v>962</v>
      </c>
      <c r="C103" s="399">
        <v>1</v>
      </c>
      <c r="D103" s="400" t="s">
        <v>16</v>
      </c>
      <c r="E103" s="139">
        <v>8500</v>
      </c>
      <c r="F103" s="142">
        <f t="shared" si="5"/>
        <v>8500</v>
      </c>
      <c r="G103" s="141">
        <f>SUM(F100:F103)</f>
        <v>213000</v>
      </c>
    </row>
    <row r="104" spans="1:9" s="315" customFormat="1" ht="20.25" customHeight="1">
      <c r="A104" s="231">
        <v>11</v>
      </c>
      <c r="B104" s="230" t="s">
        <v>663</v>
      </c>
      <c r="C104" s="139"/>
      <c r="D104" s="139"/>
      <c r="E104" s="139"/>
      <c r="F104" s="140"/>
      <c r="G104" s="141"/>
    </row>
    <row r="105" spans="1:9" s="315" customFormat="1" ht="17.25" customHeight="1">
      <c r="A105" s="229">
        <f t="shared" si="26"/>
        <v>11.01</v>
      </c>
      <c r="B105" s="234" t="s">
        <v>1001</v>
      </c>
      <c r="C105" s="139" t="e">
        <f>#REF!</f>
        <v>#REF!</v>
      </c>
      <c r="D105" s="240" t="s">
        <v>664</v>
      </c>
      <c r="E105" s="139">
        <v>1384.1399999999999</v>
      </c>
      <c r="F105" s="140" t="e">
        <f>ROUND(C105*E105,2)</f>
        <v>#REF!</v>
      </c>
      <c r="H105" s="317"/>
    </row>
    <row r="106" spans="1:9" s="315" customFormat="1" ht="22.5" customHeight="1">
      <c r="A106" s="229">
        <f t="shared" si="26"/>
        <v>11.02</v>
      </c>
      <c r="B106" s="234" t="s">
        <v>964</v>
      </c>
      <c r="C106" s="139">
        <f>1.2*1.1*1</f>
        <v>1.32</v>
      </c>
      <c r="D106" s="240" t="s">
        <v>39</v>
      </c>
      <c r="E106" s="139">
        <v>3500</v>
      </c>
      <c r="F106" s="140">
        <f t="shared" ref="F106:F107" si="34">ROUND(C106*E106,2)</f>
        <v>4620</v>
      </c>
      <c r="H106" s="317"/>
    </row>
    <row r="107" spans="1:9" s="315" customFormat="1" ht="24" customHeight="1">
      <c r="A107" s="229">
        <f t="shared" si="26"/>
        <v>11.03</v>
      </c>
      <c r="B107" s="234" t="s">
        <v>963</v>
      </c>
      <c r="C107" s="139">
        <f>0.8*0.6*2</f>
        <v>0.96</v>
      </c>
      <c r="D107" s="240" t="s">
        <v>39</v>
      </c>
      <c r="E107" s="139">
        <v>3500</v>
      </c>
      <c r="F107" s="140">
        <f t="shared" si="34"/>
        <v>3360</v>
      </c>
      <c r="G107" s="141" t="e">
        <f>SUM(F105:F107)</f>
        <v>#REF!</v>
      </c>
      <c r="H107" s="317"/>
    </row>
    <row r="108" spans="1:9" s="315" customFormat="1" ht="20.25" customHeight="1">
      <c r="A108" s="231">
        <v>12</v>
      </c>
      <c r="B108" s="230" t="s">
        <v>481</v>
      </c>
      <c r="C108" s="139"/>
      <c r="D108" s="139"/>
      <c r="E108" s="139"/>
      <c r="F108" s="140"/>
      <c r="G108" s="141"/>
    </row>
    <row r="109" spans="1:9" s="315" customFormat="1" ht="20.25" customHeight="1">
      <c r="A109" s="229">
        <f t="shared" si="26"/>
        <v>12.01</v>
      </c>
      <c r="B109" s="235" t="s">
        <v>665</v>
      </c>
      <c r="C109" s="139" t="e">
        <f>#REF!</f>
        <v>#REF!</v>
      </c>
      <c r="D109" s="139" t="s">
        <v>39</v>
      </c>
      <c r="E109" s="139" t="e">
        <f>#REF!</f>
        <v>#REF!</v>
      </c>
      <c r="F109" s="139" t="e">
        <f>ROUND(C109*E109,2)</f>
        <v>#REF!</v>
      </c>
      <c r="G109" s="141"/>
    </row>
    <row r="110" spans="1:9" s="315" customFormat="1" ht="20.25" customHeight="1">
      <c r="A110" s="229">
        <f t="shared" si="26"/>
        <v>12.02</v>
      </c>
      <c r="B110" s="235" t="s">
        <v>675</v>
      </c>
      <c r="C110" s="139" t="e">
        <f>#REF!</f>
        <v>#REF!</v>
      </c>
      <c r="D110" s="139" t="s">
        <v>39</v>
      </c>
      <c r="E110" s="139" t="e">
        <f>#REF!</f>
        <v>#REF!</v>
      </c>
      <c r="F110" s="139" t="e">
        <f t="shared" ref="F110" si="35">ROUND(C110*E110,2)</f>
        <v>#REF!</v>
      </c>
      <c r="G110" s="141"/>
    </row>
    <row r="111" spans="1:9" s="315" customFormat="1" ht="20.25" customHeight="1">
      <c r="A111" s="229">
        <f t="shared" si="26"/>
        <v>12.03</v>
      </c>
      <c r="B111" s="235" t="s">
        <v>666</v>
      </c>
      <c r="C111" s="139" t="e">
        <f>#REF!</f>
        <v>#REF!</v>
      </c>
      <c r="D111" s="139" t="s">
        <v>39</v>
      </c>
      <c r="E111" s="139" t="e">
        <f>#REF!</f>
        <v>#REF!</v>
      </c>
      <c r="F111" s="139" t="e">
        <f t="shared" si="5"/>
        <v>#REF!</v>
      </c>
      <c r="G111" s="141"/>
    </row>
    <row r="112" spans="1:9" s="315" customFormat="1" ht="20.25" customHeight="1">
      <c r="A112" s="229">
        <f t="shared" si="26"/>
        <v>12.04</v>
      </c>
      <c r="B112" s="235" t="s">
        <v>667</v>
      </c>
      <c r="C112" s="139" t="e">
        <f>#REF!</f>
        <v>#REF!</v>
      </c>
      <c r="D112" s="139" t="s">
        <v>39</v>
      </c>
      <c r="E112" s="139" t="e">
        <f>#REF!</f>
        <v>#REF!</v>
      </c>
      <c r="F112" s="139" t="e">
        <f t="shared" si="5"/>
        <v>#REF!</v>
      </c>
      <c r="G112" s="141"/>
    </row>
    <row r="113" spans="1:7" s="315" customFormat="1" ht="20.25" customHeight="1">
      <c r="A113" s="229">
        <f t="shared" si="26"/>
        <v>12.049999999999999</v>
      </c>
      <c r="B113" s="235" t="s">
        <v>668</v>
      </c>
      <c r="C113" s="139" t="e">
        <f>#REF!</f>
        <v>#REF!</v>
      </c>
      <c r="D113" s="139" t="s">
        <v>39</v>
      </c>
      <c r="E113" s="139" t="e">
        <f>#REF!</f>
        <v>#REF!</v>
      </c>
      <c r="F113" s="139" t="e">
        <f t="shared" si="5"/>
        <v>#REF!</v>
      </c>
    </row>
    <row r="114" spans="1:7" s="315" customFormat="1" ht="19.5" customHeight="1">
      <c r="A114" s="229">
        <f t="shared" si="26"/>
        <v>12.059999999999999</v>
      </c>
      <c r="B114" s="241" t="s">
        <v>978</v>
      </c>
      <c r="C114" s="139" t="e">
        <f>#REF!</f>
        <v>#REF!</v>
      </c>
      <c r="D114" s="139" t="s">
        <v>39</v>
      </c>
      <c r="E114" s="139">
        <f>'ana A1'!$M$999</f>
        <v>341.41999999999996</v>
      </c>
      <c r="F114" s="139" t="e">
        <f t="shared" si="5"/>
        <v>#REF!</v>
      </c>
      <c r="G114" s="141" t="e">
        <f>SUM(F109:F114)</f>
        <v>#REF!</v>
      </c>
    </row>
    <row r="115" spans="1:7" customFormat="1" ht="20.25" customHeight="1">
      <c r="A115" s="361">
        <v>13</v>
      </c>
      <c r="B115" s="357" t="s">
        <v>742</v>
      </c>
      <c r="C115" s="358"/>
      <c r="D115" s="359" t="s">
        <v>477</v>
      </c>
      <c r="E115" s="359"/>
      <c r="F115" s="359"/>
      <c r="G115" s="362"/>
    </row>
    <row r="116" spans="1:7" customFormat="1" ht="20.25" customHeight="1">
      <c r="A116" s="229">
        <f t="shared" ref="A116:A119" si="36">A115+0.01</f>
        <v>13.01</v>
      </c>
      <c r="B116" s="235" t="s">
        <v>737</v>
      </c>
      <c r="C116" s="139" t="e">
        <f>#REF!</f>
        <v>#REF!</v>
      </c>
      <c r="D116" s="139" t="s">
        <v>39</v>
      </c>
      <c r="E116" s="139" t="e">
        <f>#REF!</f>
        <v>#REF!</v>
      </c>
      <c r="F116" s="139" t="e">
        <f>ROUND(C116*E116,2)</f>
        <v>#REF!</v>
      </c>
      <c r="G116" s="141"/>
    </row>
    <row r="117" spans="1:7" customFormat="1" ht="20.25" customHeight="1">
      <c r="A117" s="229">
        <f t="shared" si="36"/>
        <v>13.02</v>
      </c>
      <c r="B117" s="235" t="s">
        <v>738</v>
      </c>
      <c r="C117" s="139" t="e">
        <f>#REF!</f>
        <v>#REF!</v>
      </c>
      <c r="D117" s="139" t="s">
        <v>658</v>
      </c>
      <c r="E117" s="139" t="e">
        <f>#REF!</f>
        <v>#REF!</v>
      </c>
      <c r="F117" s="139" t="e">
        <f t="shared" ref="F117:F119" si="37">ROUND(C117*E117,2)</f>
        <v>#REF!</v>
      </c>
      <c r="G117" s="141"/>
    </row>
    <row r="118" spans="1:7" customFormat="1" ht="23.25" customHeight="1">
      <c r="A118" s="229">
        <f t="shared" si="36"/>
        <v>13.03</v>
      </c>
      <c r="B118" s="235" t="s">
        <v>741</v>
      </c>
      <c r="C118" s="139" t="e">
        <f>#REF!</f>
        <v>#REF!</v>
      </c>
      <c r="D118" s="139" t="s">
        <v>39</v>
      </c>
      <c r="E118" s="139" t="e">
        <f>#REF!</f>
        <v>#REF!</v>
      </c>
      <c r="F118" s="139" t="e">
        <f t="shared" si="37"/>
        <v>#REF!</v>
      </c>
      <c r="G118" s="141"/>
    </row>
    <row r="119" spans="1:7" customFormat="1" ht="32.25" customHeight="1">
      <c r="A119" s="229">
        <f t="shared" si="36"/>
        <v>13.04</v>
      </c>
      <c r="B119" s="241" t="s">
        <v>739</v>
      </c>
      <c r="C119" s="139" t="e">
        <f>#REF!</f>
        <v>#REF!</v>
      </c>
      <c r="D119" s="139" t="s">
        <v>39</v>
      </c>
      <c r="E119" s="139">
        <v>692</v>
      </c>
      <c r="F119" s="139" t="e">
        <f t="shared" si="37"/>
        <v>#REF!</v>
      </c>
      <c r="G119" s="141" t="e">
        <f>SUM(F116:F119)</f>
        <v>#REF!</v>
      </c>
    </row>
    <row r="120" spans="1:7" s="315" customFormat="1" ht="20.25" customHeight="1">
      <c r="A120" s="231">
        <v>14</v>
      </c>
      <c r="B120" s="230" t="s">
        <v>669</v>
      </c>
      <c r="C120" s="140"/>
      <c r="D120" s="140"/>
      <c r="E120" s="139"/>
      <c r="F120" s="140"/>
      <c r="G120" s="141"/>
    </row>
    <row r="121" spans="1:7" s="315" customFormat="1" ht="20.25" customHeight="1">
      <c r="A121" s="229">
        <f t="shared" si="26"/>
        <v>14.01</v>
      </c>
      <c r="B121" s="232" t="s">
        <v>763</v>
      </c>
      <c r="C121" s="139" t="e">
        <f>#REF!</f>
        <v>#REF!</v>
      </c>
      <c r="D121" s="139" t="s">
        <v>664</v>
      </c>
      <c r="E121" s="139">
        <v>550</v>
      </c>
      <c r="F121" s="140" t="e">
        <f>ROUND(C121*E121,2)</f>
        <v>#REF!</v>
      </c>
      <c r="G121" s="141"/>
    </row>
    <row r="122" spans="1:7" s="315" customFormat="1" ht="20.25" customHeight="1">
      <c r="A122" s="229">
        <f t="shared" si="26"/>
        <v>14.02</v>
      </c>
      <c r="B122" s="232" t="s">
        <v>997</v>
      </c>
      <c r="C122" s="139" t="e">
        <f>#REF!</f>
        <v>#REF!</v>
      </c>
      <c r="D122" s="139" t="s">
        <v>39</v>
      </c>
      <c r="E122" s="139">
        <v>1200</v>
      </c>
      <c r="F122" s="140" t="e">
        <f>ROUND(C122*E122,2)</f>
        <v>#REF!</v>
      </c>
    </row>
    <row r="123" spans="1:7" s="315" customFormat="1" ht="20.25" customHeight="1">
      <c r="A123" s="229">
        <f t="shared" si="26"/>
        <v>14.03</v>
      </c>
      <c r="B123" s="232" t="s">
        <v>714</v>
      </c>
      <c r="C123" s="139" t="e">
        <f>#REF!</f>
        <v>#REF!</v>
      </c>
      <c r="D123" s="139" t="s">
        <v>36</v>
      </c>
      <c r="E123" s="139" t="e">
        <f>#REF!</f>
        <v>#REF!</v>
      </c>
      <c r="F123" s="140" t="e">
        <f t="shared" ref="F123:F132" si="38">ROUND(C123*E123,2)</f>
        <v>#REF!</v>
      </c>
      <c r="G123" s="141"/>
    </row>
    <row r="124" spans="1:7" s="315" customFormat="1" ht="20.25" customHeight="1">
      <c r="A124" s="229">
        <f t="shared" si="26"/>
        <v>14.04</v>
      </c>
      <c r="B124" s="232" t="s">
        <v>759</v>
      </c>
      <c r="C124" s="139" t="e">
        <f>#REF!</f>
        <v>#REF!</v>
      </c>
      <c r="D124" s="139" t="s">
        <v>36</v>
      </c>
      <c r="E124" s="139">
        <f>'ana A1'!F1048</f>
        <v>6003.6</v>
      </c>
      <c r="F124" s="140" t="e">
        <f t="shared" si="38"/>
        <v>#REF!</v>
      </c>
      <c r="G124" s="141"/>
    </row>
    <row r="125" spans="1:7" s="315" customFormat="1" ht="20.25" customHeight="1">
      <c r="A125" s="229">
        <f t="shared" ref="A125:A131" si="39">A124+0.01</f>
        <v>14.049999999999999</v>
      </c>
      <c r="B125" s="234" t="s">
        <v>995</v>
      </c>
      <c r="C125" s="140" t="e">
        <f>#REF!</f>
        <v>#REF!</v>
      </c>
      <c r="D125" s="140" t="s">
        <v>11</v>
      </c>
      <c r="E125" s="139">
        <v>418.2</v>
      </c>
      <c r="F125" s="140" t="e">
        <f t="shared" si="38"/>
        <v>#REF!</v>
      </c>
      <c r="G125" s="141"/>
    </row>
    <row r="126" spans="1:7" s="315" customFormat="1" ht="20.25" customHeight="1">
      <c r="A126" s="229">
        <f t="shared" si="39"/>
        <v>14.059999999999999</v>
      </c>
      <c r="B126" s="232" t="s">
        <v>937</v>
      </c>
      <c r="C126" s="139">
        <f>10.45*12</f>
        <v>125.39999999999999</v>
      </c>
      <c r="D126" s="139" t="s">
        <v>36</v>
      </c>
      <c r="E126" s="408">
        <v>10000</v>
      </c>
      <c r="F126" s="140">
        <f t="shared" si="38"/>
        <v>1254000</v>
      </c>
      <c r="G126" s="141"/>
    </row>
    <row r="127" spans="1:7" s="315" customFormat="1" ht="20.25" customHeight="1">
      <c r="A127" s="229">
        <f t="shared" si="39"/>
        <v>14.069999999999999</v>
      </c>
      <c r="B127" s="232" t="s">
        <v>938</v>
      </c>
      <c r="C127" s="139">
        <v>10.45</v>
      </c>
      <c r="D127" s="139" t="s">
        <v>36</v>
      </c>
      <c r="E127" s="408">
        <v>10000</v>
      </c>
      <c r="F127" s="140">
        <f t="shared" si="38"/>
        <v>104500</v>
      </c>
      <c r="G127" s="141"/>
    </row>
    <row r="128" spans="1:7" s="315" customFormat="1" ht="20.25" customHeight="1">
      <c r="A128" s="229">
        <f t="shared" si="39"/>
        <v>14.079999999999998</v>
      </c>
      <c r="B128" s="232" t="s">
        <v>992</v>
      </c>
      <c r="C128" s="139">
        <v>77.599999999999994</v>
      </c>
      <c r="D128" s="139" t="s">
        <v>36</v>
      </c>
      <c r="E128" s="139">
        <f>'ana A1'!I1145</f>
        <v>6000</v>
      </c>
      <c r="F128" s="140">
        <f t="shared" si="38"/>
        <v>465600</v>
      </c>
      <c r="G128" s="141"/>
    </row>
    <row r="129" spans="1:8" s="315" customFormat="1" ht="20.25" customHeight="1">
      <c r="A129" s="229">
        <f t="shared" si="39"/>
        <v>14.089999999999998</v>
      </c>
      <c r="B129" s="232" t="s">
        <v>996</v>
      </c>
      <c r="C129" s="139">
        <v>156.65</v>
      </c>
      <c r="D129" s="139" t="s">
        <v>36</v>
      </c>
      <c r="E129" s="408">
        <v>1086.57</v>
      </c>
      <c r="F129" s="140">
        <f t="shared" si="38"/>
        <v>170211.19</v>
      </c>
      <c r="G129" s="141"/>
    </row>
    <row r="130" spans="1:8" s="315" customFormat="1" ht="30.75" customHeight="1">
      <c r="A130" s="229">
        <f t="shared" si="39"/>
        <v>14.099999999999998</v>
      </c>
      <c r="B130" s="234" t="s">
        <v>1000</v>
      </c>
      <c r="C130" s="139">
        <v>1</v>
      </c>
      <c r="D130" s="139" t="s">
        <v>2</v>
      </c>
      <c r="E130" s="139">
        <v>29011.75</v>
      </c>
      <c r="F130" s="140">
        <f t="shared" si="38"/>
        <v>29011.75</v>
      </c>
      <c r="G130" s="141"/>
    </row>
    <row r="131" spans="1:8" s="315" customFormat="1" ht="20.25" customHeight="1">
      <c r="A131" s="229">
        <f t="shared" si="39"/>
        <v>14.109999999999998</v>
      </c>
      <c r="B131" s="232" t="s">
        <v>926</v>
      </c>
      <c r="C131" s="139" t="e">
        <f>C132*2</f>
        <v>#REF!</v>
      </c>
      <c r="D131" s="139" t="s">
        <v>36</v>
      </c>
      <c r="E131" s="139">
        <v>110.64</v>
      </c>
      <c r="F131" s="140" t="e">
        <f t="shared" si="38"/>
        <v>#REF!</v>
      </c>
      <c r="G131" s="141"/>
      <c r="H131" s="397"/>
    </row>
    <row r="132" spans="1:8" s="315" customFormat="1" ht="20.25" customHeight="1">
      <c r="A132" s="229">
        <f t="shared" ref="A132" si="40">A131+0.01</f>
        <v>14.119999999999997</v>
      </c>
      <c r="B132" s="234" t="s">
        <v>721</v>
      </c>
      <c r="C132" s="139" t="e">
        <f>#REF!</f>
        <v>#REF!</v>
      </c>
      <c r="D132" s="139" t="s">
        <v>36</v>
      </c>
      <c r="E132" s="139">
        <v>60</v>
      </c>
      <c r="F132" s="140" t="e">
        <f t="shared" si="38"/>
        <v>#REF!</v>
      </c>
      <c r="G132" s="141" t="e">
        <f>SUM(F121:F132)</f>
        <v>#REF!</v>
      </c>
    </row>
    <row r="133" spans="1:8" s="315" customFormat="1" ht="20.25" customHeight="1">
      <c r="A133" s="231">
        <v>15</v>
      </c>
      <c r="B133" s="357" t="s">
        <v>715</v>
      </c>
      <c r="C133" s="358"/>
      <c r="D133" s="359"/>
      <c r="E133" s="139"/>
      <c r="F133" s="139"/>
      <c r="G133" s="141"/>
    </row>
    <row r="134" spans="1:8" s="315" customFormat="1" ht="20.25" customHeight="1">
      <c r="A134" s="229">
        <f t="shared" ref="A134:A141" si="41">A133+0.01</f>
        <v>15.01</v>
      </c>
      <c r="B134" s="234" t="s">
        <v>126</v>
      </c>
      <c r="C134" s="140" t="e">
        <f>#REF!</f>
        <v>#REF!</v>
      </c>
      <c r="D134" s="140" t="s">
        <v>108</v>
      </c>
      <c r="E134" s="139">
        <f>$E$16</f>
        <v>362.45</v>
      </c>
      <c r="F134" s="140" t="e">
        <f>ROUND(C134*E134,2)</f>
        <v>#REF!</v>
      </c>
      <c r="G134" s="141"/>
    </row>
    <row r="135" spans="1:8" s="315" customFormat="1" ht="20.25" customHeight="1">
      <c r="A135" s="229">
        <f t="shared" si="41"/>
        <v>15.02</v>
      </c>
      <c r="B135" s="234" t="s">
        <v>476</v>
      </c>
      <c r="C135" s="140" t="e">
        <f>#REF!</f>
        <v>#REF!</v>
      </c>
      <c r="D135" s="140" t="s">
        <v>108</v>
      </c>
      <c r="E135" s="139">
        <f>$E$17</f>
        <v>1123.1600000000001</v>
      </c>
      <c r="F135" s="140" t="e">
        <f t="shared" ref="F135:F141" si="42">ROUND(C135*E135,2)</f>
        <v>#REF!</v>
      </c>
      <c r="G135" s="141"/>
    </row>
    <row r="136" spans="1:8" s="315" customFormat="1" ht="20.25" customHeight="1">
      <c r="A136" s="229">
        <f t="shared" si="41"/>
        <v>15.03</v>
      </c>
      <c r="B136" s="234" t="s">
        <v>716</v>
      </c>
      <c r="C136" s="140" t="e">
        <f>#REF!</f>
        <v>#REF!</v>
      </c>
      <c r="D136" s="140" t="s">
        <v>108</v>
      </c>
      <c r="E136" s="139" t="e">
        <f>'ana A1'!$M$183</f>
        <v>#REF!</v>
      </c>
      <c r="F136" s="140" t="e">
        <f t="shared" si="42"/>
        <v>#REF!</v>
      </c>
      <c r="G136" s="141"/>
    </row>
    <row r="137" spans="1:8" s="315" customFormat="1" ht="20.25" customHeight="1">
      <c r="A137" s="229">
        <f t="shared" si="41"/>
        <v>15.04</v>
      </c>
      <c r="B137" s="234" t="s">
        <v>717</v>
      </c>
      <c r="C137" s="140" t="e">
        <f>#REF!</f>
        <v>#REF!</v>
      </c>
      <c r="D137" s="140" t="s">
        <v>39</v>
      </c>
      <c r="E137" s="139" t="e">
        <f>#REF!</f>
        <v>#REF!</v>
      </c>
      <c r="F137" s="140" t="e">
        <f t="shared" si="42"/>
        <v>#REF!</v>
      </c>
      <c r="G137" s="141"/>
    </row>
    <row r="138" spans="1:8" s="315" customFormat="1" ht="20.25" customHeight="1">
      <c r="A138" s="229">
        <f t="shared" si="41"/>
        <v>15.049999999999999</v>
      </c>
      <c r="B138" s="234" t="s">
        <v>718</v>
      </c>
      <c r="C138" s="140">
        <v>3.0999999999999996</v>
      </c>
      <c r="D138" s="140" t="s">
        <v>39</v>
      </c>
      <c r="E138" s="139" t="e">
        <f>$E$70</f>
        <v>#REF!</v>
      </c>
      <c r="F138" s="140" t="e">
        <f t="shared" si="42"/>
        <v>#REF!</v>
      </c>
      <c r="G138" s="141"/>
    </row>
    <row r="139" spans="1:8" s="315" customFormat="1" ht="32.25" customHeight="1">
      <c r="A139" s="229">
        <f t="shared" si="41"/>
        <v>15.059999999999999</v>
      </c>
      <c r="B139" s="234" t="s">
        <v>932</v>
      </c>
      <c r="C139" s="140" t="e">
        <f>+#REF!</f>
        <v>#REF!</v>
      </c>
      <c r="D139" s="140" t="s">
        <v>39</v>
      </c>
      <c r="E139" s="139">
        <f>'ana A1'!$F$1007</f>
        <v>1033.915</v>
      </c>
      <c r="F139" s="140" t="e">
        <f t="shared" si="42"/>
        <v>#REF!</v>
      </c>
      <c r="G139" s="141"/>
    </row>
    <row r="140" spans="1:8" s="315" customFormat="1" ht="20.25" customHeight="1">
      <c r="A140" s="229">
        <f t="shared" si="41"/>
        <v>15.069999999999999</v>
      </c>
      <c r="B140" s="234" t="s">
        <v>719</v>
      </c>
      <c r="C140" s="140">
        <v>1</v>
      </c>
      <c r="D140" s="140" t="s">
        <v>2</v>
      </c>
      <c r="E140" s="139" t="e">
        <f>#REF!</f>
        <v>#REF!</v>
      </c>
      <c r="F140" s="140" t="e">
        <f t="shared" si="42"/>
        <v>#REF!</v>
      </c>
      <c r="G140" s="141"/>
    </row>
    <row r="141" spans="1:8" s="315" customFormat="1" ht="20.25" customHeight="1">
      <c r="A141" s="229">
        <f t="shared" si="41"/>
        <v>15.079999999999998</v>
      </c>
      <c r="B141" s="360" t="s">
        <v>720</v>
      </c>
      <c r="C141" s="358">
        <v>10</v>
      </c>
      <c r="D141" s="359" t="s">
        <v>91</v>
      </c>
      <c r="E141" s="139">
        <v>6490</v>
      </c>
      <c r="F141" s="359">
        <f t="shared" si="42"/>
        <v>64900</v>
      </c>
      <c r="G141" s="141" t="e">
        <f>SUM(F134:F141)</f>
        <v>#REF!</v>
      </c>
    </row>
    <row r="142" spans="1:8" s="315" customFormat="1" ht="20.25" customHeight="1">
      <c r="A142" s="237"/>
      <c r="B142" s="234"/>
      <c r="C142" s="140"/>
      <c r="D142" s="140"/>
      <c r="E142" s="139"/>
      <c r="F142" s="140"/>
      <c r="G142" s="141"/>
    </row>
    <row r="143" spans="1:8" s="315" customFormat="1" ht="20.25" customHeight="1">
      <c r="A143" s="342"/>
      <c r="B143" s="343" t="s">
        <v>680</v>
      </c>
      <c r="C143" s="139"/>
      <c r="D143" s="139"/>
      <c r="E143" s="139"/>
      <c r="F143" s="140"/>
      <c r="G143" s="141"/>
    </row>
    <row r="144" spans="1:8" s="315" customFormat="1" ht="20.25" customHeight="1">
      <c r="A144" s="342"/>
      <c r="B144" s="235"/>
      <c r="C144" s="139"/>
      <c r="D144" s="139"/>
      <c r="E144" s="139"/>
      <c r="F144" s="140"/>
      <c r="G144" s="141"/>
    </row>
    <row r="145" spans="1:7" s="315" customFormat="1" ht="20.25" customHeight="1">
      <c r="A145" s="242">
        <v>16</v>
      </c>
      <c r="B145" s="343" t="s">
        <v>478</v>
      </c>
      <c r="C145" s="139"/>
      <c r="D145" s="139" t="s">
        <v>477</v>
      </c>
      <c r="E145" s="139"/>
      <c r="F145" s="140"/>
      <c r="G145" s="141"/>
    </row>
    <row r="146" spans="1:7" s="315" customFormat="1" ht="20.25" customHeight="1">
      <c r="A146" s="342">
        <f>A145+0.01</f>
        <v>16.010000000000002</v>
      </c>
      <c r="B146" s="232" t="s">
        <v>693</v>
      </c>
      <c r="C146" s="139" t="e">
        <f>#REF!</f>
        <v>#REF!</v>
      </c>
      <c r="D146" s="139" t="s">
        <v>651</v>
      </c>
      <c r="E146" s="139" t="e">
        <f>'ana A1'!$F$261</f>
        <v>#REF!</v>
      </c>
      <c r="F146" s="140" t="e">
        <f t="shared" ref="F146:F172" si="43">ROUND(C146*E146,2)</f>
        <v>#REF!</v>
      </c>
      <c r="G146" s="141"/>
    </row>
    <row r="147" spans="1:7" s="315" customFormat="1" ht="20.25" customHeight="1">
      <c r="A147" s="342">
        <f t="shared" ref="A147:A172" si="44">A146+0.01</f>
        <v>16.020000000000003</v>
      </c>
      <c r="B147" s="232" t="s">
        <v>694</v>
      </c>
      <c r="C147" s="139" t="e">
        <f>#REF!</f>
        <v>#REF!</v>
      </c>
      <c r="D147" s="139" t="s">
        <v>651</v>
      </c>
      <c r="E147" s="139" t="e">
        <f>'ana A1'!$M$260</f>
        <v>#REF!</v>
      </c>
      <c r="F147" s="140" t="e">
        <f t="shared" si="43"/>
        <v>#REF!</v>
      </c>
      <c r="G147" s="141"/>
    </row>
    <row r="148" spans="1:7" s="315" customFormat="1" ht="20.25" customHeight="1">
      <c r="A148" s="342">
        <f t="shared" si="44"/>
        <v>16.030000000000005</v>
      </c>
      <c r="B148" s="232" t="s">
        <v>695</v>
      </c>
      <c r="C148" s="139" t="e">
        <f>#REF!</f>
        <v>#REF!</v>
      </c>
      <c r="D148" s="139" t="s">
        <v>651</v>
      </c>
      <c r="E148" s="139" t="e">
        <f>'ana A1'!$F$317</f>
        <v>#REF!</v>
      </c>
      <c r="F148" s="140" t="e">
        <f t="shared" si="43"/>
        <v>#REF!</v>
      </c>
      <c r="G148" s="141"/>
    </row>
    <row r="149" spans="1:7" s="315" customFormat="1" ht="20.25" customHeight="1">
      <c r="A149" s="342">
        <f t="shared" si="44"/>
        <v>16.040000000000006</v>
      </c>
      <c r="B149" s="232" t="s">
        <v>696</v>
      </c>
      <c r="C149" s="139" t="e">
        <f>#REF!</f>
        <v>#REF!</v>
      </c>
      <c r="D149" s="139" t="s">
        <v>651</v>
      </c>
      <c r="E149" s="139" t="e">
        <f>'ana A1'!$F$370</f>
        <v>#REF!</v>
      </c>
      <c r="F149" s="140" t="e">
        <f t="shared" si="43"/>
        <v>#REF!</v>
      </c>
      <c r="G149" s="141"/>
    </row>
    <row r="150" spans="1:7" s="315" customFormat="1" ht="20.25" customHeight="1">
      <c r="A150" s="342">
        <f t="shared" si="44"/>
        <v>16.050000000000008</v>
      </c>
      <c r="B150" s="232" t="s">
        <v>731</v>
      </c>
      <c r="C150" s="139" t="e">
        <f>#REF!</f>
        <v>#REF!</v>
      </c>
      <c r="D150" s="139" t="s">
        <v>651</v>
      </c>
      <c r="E150" s="139" t="e">
        <f>'ana A1'!$M$372</f>
        <v>#REF!</v>
      </c>
      <c r="F150" s="140" t="e">
        <f t="shared" si="43"/>
        <v>#REF!</v>
      </c>
      <c r="G150" s="141"/>
    </row>
    <row r="151" spans="1:7" s="315" customFormat="1" ht="33" customHeight="1">
      <c r="A151" s="342">
        <f t="shared" si="44"/>
        <v>16.060000000000009</v>
      </c>
      <c r="B151" s="234" t="s">
        <v>950</v>
      </c>
      <c r="C151" s="139" t="e">
        <f>#REF!</f>
        <v>#REF!</v>
      </c>
      <c r="D151" s="139" t="s">
        <v>651</v>
      </c>
      <c r="E151" s="139" t="e">
        <f>'ana A1'!$T$260</f>
        <v>#REF!</v>
      </c>
      <c r="F151" s="140" t="e">
        <f t="shared" si="43"/>
        <v>#REF!</v>
      </c>
      <c r="G151" s="141"/>
    </row>
    <row r="152" spans="1:7" s="315" customFormat="1" ht="20.25" customHeight="1">
      <c r="A152" s="342">
        <f t="shared" si="44"/>
        <v>16.070000000000011</v>
      </c>
      <c r="B152" s="232" t="s">
        <v>722</v>
      </c>
      <c r="C152" s="139" t="e">
        <f>#REF!</f>
        <v>#REF!</v>
      </c>
      <c r="D152" s="139" t="s">
        <v>651</v>
      </c>
      <c r="E152" s="139" t="e">
        <f>'ana A1'!$M$317</f>
        <v>#REF!</v>
      </c>
      <c r="F152" s="140" t="e">
        <f t="shared" si="43"/>
        <v>#REF!</v>
      </c>
      <c r="G152" s="141"/>
    </row>
    <row r="153" spans="1:7" s="315" customFormat="1" ht="20.25" customHeight="1">
      <c r="A153" s="342">
        <f t="shared" si="44"/>
        <v>16.080000000000013</v>
      </c>
      <c r="B153" s="232" t="s">
        <v>698</v>
      </c>
      <c r="C153" s="139" t="e">
        <f>#REF!</f>
        <v>#REF!</v>
      </c>
      <c r="D153" s="139" t="s">
        <v>651</v>
      </c>
      <c r="E153" s="139" t="e">
        <f>'ana A1'!$M$412</f>
        <v>#REF!</v>
      </c>
      <c r="F153" s="140" t="e">
        <f t="shared" si="43"/>
        <v>#REF!</v>
      </c>
      <c r="G153" s="141"/>
    </row>
    <row r="154" spans="1:7" s="315" customFormat="1" ht="20.25" customHeight="1">
      <c r="A154" s="342">
        <f t="shared" si="44"/>
        <v>16.090000000000014</v>
      </c>
      <c r="B154" s="232" t="s">
        <v>699</v>
      </c>
      <c r="C154" s="139" t="e">
        <f>#REF!</f>
        <v>#REF!</v>
      </c>
      <c r="D154" s="139" t="s">
        <v>651</v>
      </c>
      <c r="E154" s="139" t="e">
        <f>'ana A1'!$F$439</f>
        <v>#REF!</v>
      </c>
      <c r="F154" s="140" t="e">
        <f t="shared" si="43"/>
        <v>#REF!</v>
      </c>
      <c r="G154" s="141"/>
    </row>
    <row r="155" spans="1:7" s="315" customFormat="1" ht="20.25" customHeight="1">
      <c r="A155" s="342">
        <f t="shared" si="44"/>
        <v>16.100000000000016</v>
      </c>
      <c r="B155" s="232" t="s">
        <v>700</v>
      </c>
      <c r="C155" s="139" t="e">
        <f>#REF!</f>
        <v>#REF!</v>
      </c>
      <c r="D155" s="139" t="s">
        <v>651</v>
      </c>
      <c r="E155" s="139" t="e">
        <f>'ana A1'!$M$465</f>
        <v>#REF!</v>
      </c>
      <c r="F155" s="140" t="e">
        <f t="shared" si="43"/>
        <v>#REF!</v>
      </c>
      <c r="G155" s="141"/>
    </row>
    <row r="156" spans="1:7" s="315" customFormat="1" ht="20.25" customHeight="1">
      <c r="A156" s="342">
        <f t="shared" si="44"/>
        <v>16.110000000000017</v>
      </c>
      <c r="B156" s="232" t="s">
        <v>701</v>
      </c>
      <c r="C156" s="139" t="e">
        <f>#REF!</f>
        <v>#REF!</v>
      </c>
      <c r="D156" s="139" t="s">
        <v>651</v>
      </c>
      <c r="E156" s="139" t="e">
        <f>'ana A1'!$F$478</f>
        <v>#REF!</v>
      </c>
      <c r="F156" s="140" t="e">
        <f t="shared" si="43"/>
        <v>#REF!</v>
      </c>
      <c r="G156" s="141"/>
    </row>
    <row r="157" spans="1:7" s="315" customFormat="1" ht="20.25" customHeight="1">
      <c r="A157" s="342">
        <f t="shared" si="44"/>
        <v>16.120000000000019</v>
      </c>
      <c r="B157" s="235" t="s">
        <v>702</v>
      </c>
      <c r="C157" s="139" t="e">
        <f>#REF!</f>
        <v>#REF!</v>
      </c>
      <c r="D157" s="139" t="s">
        <v>651</v>
      </c>
      <c r="E157" s="139" t="e">
        <f>'ana A1'!$M$504</f>
        <v>#REF!</v>
      </c>
      <c r="F157" s="140" t="e">
        <f t="shared" si="43"/>
        <v>#REF!</v>
      </c>
      <c r="G157" s="141"/>
    </row>
    <row r="158" spans="1:7" s="315" customFormat="1" ht="20.25" customHeight="1">
      <c r="A158" s="342">
        <f t="shared" si="44"/>
        <v>16.13000000000002</v>
      </c>
      <c r="B158" s="241" t="s">
        <v>703</v>
      </c>
      <c r="C158" s="139" t="e">
        <f>#REF!</f>
        <v>#REF!</v>
      </c>
      <c r="D158" s="139" t="s">
        <v>651</v>
      </c>
      <c r="E158" s="139" t="e">
        <f>'ana A1'!$M$689</f>
        <v>#REF!</v>
      </c>
      <c r="F158" s="140" t="e">
        <f t="shared" si="43"/>
        <v>#REF!</v>
      </c>
      <c r="G158" s="141"/>
    </row>
    <row r="159" spans="1:7" s="315" customFormat="1" ht="20.25" customHeight="1">
      <c r="A159" s="342">
        <f t="shared" si="44"/>
        <v>16.140000000000022</v>
      </c>
      <c r="B159" s="241" t="s">
        <v>704</v>
      </c>
      <c r="C159" s="139" t="e">
        <f>#REF!</f>
        <v>#REF!</v>
      </c>
      <c r="D159" s="139" t="s">
        <v>651</v>
      </c>
      <c r="E159" s="139" t="e">
        <f>'ana A1'!$F$715</f>
        <v>#REF!</v>
      </c>
      <c r="F159" s="140" t="e">
        <f t="shared" si="43"/>
        <v>#REF!</v>
      </c>
      <c r="G159" s="141"/>
    </row>
    <row r="160" spans="1:7" s="315" customFormat="1" ht="35.25" customHeight="1">
      <c r="A160" s="342">
        <f t="shared" si="44"/>
        <v>16.150000000000023</v>
      </c>
      <c r="B160" s="234" t="s">
        <v>705</v>
      </c>
      <c r="C160" s="139" t="e">
        <f>#REF!</f>
        <v>#REF!</v>
      </c>
      <c r="D160" s="139" t="s">
        <v>651</v>
      </c>
      <c r="E160" s="139" t="e">
        <f>'ana A1'!$F$530</f>
        <v>#REF!</v>
      </c>
      <c r="F160" s="140" t="e">
        <f t="shared" si="43"/>
        <v>#REF!</v>
      </c>
      <c r="G160" s="141"/>
    </row>
    <row r="161" spans="1:7" s="315" customFormat="1" ht="35.25" customHeight="1">
      <c r="A161" s="342">
        <f t="shared" si="44"/>
        <v>16.160000000000025</v>
      </c>
      <c r="B161" s="234" t="s">
        <v>706</v>
      </c>
      <c r="C161" s="139" t="e">
        <f>#REF!</f>
        <v>#REF!</v>
      </c>
      <c r="D161" s="139" t="s">
        <v>651</v>
      </c>
      <c r="E161" s="139" t="e">
        <f>'ana A1'!$M$543</f>
        <v>#REF!</v>
      </c>
      <c r="F161" s="140" t="e">
        <f t="shared" si="43"/>
        <v>#REF!</v>
      </c>
      <c r="G161" s="141"/>
    </row>
    <row r="162" spans="1:7" s="315" customFormat="1" ht="20.25" customHeight="1">
      <c r="A162" s="342">
        <f t="shared" si="44"/>
        <v>16.170000000000027</v>
      </c>
      <c r="B162" s="232" t="s">
        <v>708</v>
      </c>
      <c r="C162" s="139" t="e">
        <f>#REF!</f>
        <v>#REF!</v>
      </c>
      <c r="D162" s="139" t="s">
        <v>651</v>
      </c>
      <c r="E162" s="139" t="e">
        <f>'ana A1'!$F$582</f>
        <v>#REF!</v>
      </c>
      <c r="F162" s="140" t="e">
        <f t="shared" si="43"/>
        <v>#REF!</v>
      </c>
      <c r="G162" s="141"/>
    </row>
    <row r="163" spans="1:7" s="315" customFormat="1" ht="20.25" customHeight="1">
      <c r="A163" s="342">
        <f t="shared" si="44"/>
        <v>16.180000000000028</v>
      </c>
      <c r="B163" s="232" t="s">
        <v>652</v>
      </c>
      <c r="C163" s="139" t="e">
        <f>#REF!</f>
        <v>#REF!</v>
      </c>
      <c r="D163" s="139" t="s">
        <v>651</v>
      </c>
      <c r="E163" s="139" t="e">
        <f>'ana A1'!$M$596</f>
        <v>#REF!</v>
      </c>
      <c r="F163" s="140" t="e">
        <f t="shared" si="43"/>
        <v>#REF!</v>
      </c>
      <c r="G163" s="141"/>
    </row>
    <row r="164" spans="1:7" s="315" customFormat="1" ht="20.25" customHeight="1">
      <c r="A164" s="342">
        <f t="shared" si="44"/>
        <v>16.19000000000003</v>
      </c>
      <c r="B164" s="232" t="s">
        <v>707</v>
      </c>
      <c r="C164" s="139" t="e">
        <f>#REF!</f>
        <v>#REF!</v>
      </c>
      <c r="D164" s="139" t="s">
        <v>651</v>
      </c>
      <c r="E164" s="139" t="e">
        <f>'ana A1'!$F$637</f>
        <v>#REF!</v>
      </c>
      <c r="F164" s="140" t="e">
        <f t="shared" si="43"/>
        <v>#REF!</v>
      </c>
      <c r="G164" s="141"/>
    </row>
    <row r="165" spans="1:7" s="315" customFormat="1" ht="20.25" customHeight="1">
      <c r="A165" s="342">
        <f t="shared" si="44"/>
        <v>16.200000000000031</v>
      </c>
      <c r="B165" s="232" t="s">
        <v>653</v>
      </c>
      <c r="C165" s="139" t="e">
        <f>#REF!</f>
        <v>#REF!</v>
      </c>
      <c r="D165" s="139" t="s">
        <v>651</v>
      </c>
      <c r="E165" s="139" t="e">
        <f>'ana A1'!$M$650</f>
        <v>#REF!</v>
      </c>
      <c r="F165" s="140" t="e">
        <f t="shared" si="43"/>
        <v>#REF!</v>
      </c>
      <c r="G165" s="141"/>
    </row>
    <row r="166" spans="1:7" s="315" customFormat="1" ht="23.25" customHeight="1">
      <c r="A166" s="342">
        <f t="shared" si="44"/>
        <v>16.210000000000033</v>
      </c>
      <c r="B166" s="234" t="s">
        <v>676</v>
      </c>
      <c r="C166" s="139" t="e">
        <f>#REF!</f>
        <v>#REF!</v>
      </c>
      <c r="D166" s="139" t="s">
        <v>651</v>
      </c>
      <c r="E166" s="139" t="e">
        <f>'ana A1'!$G$1075</f>
        <v>#REF!</v>
      </c>
      <c r="F166" s="140" t="e">
        <f t="shared" si="43"/>
        <v>#REF!</v>
      </c>
      <c r="G166" s="141"/>
    </row>
    <row r="167" spans="1:7" s="315" customFormat="1" ht="20.25" customHeight="1">
      <c r="A167" s="342">
        <f t="shared" si="44"/>
        <v>16.220000000000034</v>
      </c>
      <c r="B167" s="234" t="s">
        <v>710</v>
      </c>
      <c r="C167" s="139" t="e">
        <f>#REF!</f>
        <v>#REF!</v>
      </c>
      <c r="D167" s="139" t="s">
        <v>651</v>
      </c>
      <c r="E167" s="139" t="e">
        <f>'ana A1'!$F$689</f>
        <v>#REF!</v>
      </c>
      <c r="F167" s="140" t="e">
        <f t="shared" si="43"/>
        <v>#REF!</v>
      </c>
      <c r="G167" s="141"/>
    </row>
    <row r="168" spans="1:7" s="315" customFormat="1" ht="20.25" customHeight="1">
      <c r="A168" s="342">
        <f t="shared" si="44"/>
        <v>16.230000000000036</v>
      </c>
      <c r="B168" s="234" t="s">
        <v>711</v>
      </c>
      <c r="C168" s="139" t="e">
        <f>#REF!</f>
        <v>#REF!</v>
      </c>
      <c r="D168" s="139" t="s">
        <v>651</v>
      </c>
      <c r="E168" s="139" t="e">
        <f>'ana A1'!$M$823</f>
        <v>#REF!</v>
      </c>
      <c r="F168" s="140" t="e">
        <f t="shared" si="43"/>
        <v>#REF!</v>
      </c>
      <c r="G168" s="141"/>
    </row>
    <row r="169" spans="1:7" s="315" customFormat="1" ht="20.25" customHeight="1">
      <c r="A169" s="342">
        <f t="shared" si="44"/>
        <v>16.240000000000038</v>
      </c>
      <c r="B169" s="234" t="s">
        <v>712</v>
      </c>
      <c r="C169" s="139" t="e">
        <f>#REF!</f>
        <v>#REF!</v>
      </c>
      <c r="D169" s="139" t="s">
        <v>651</v>
      </c>
      <c r="E169" s="139" t="e">
        <f>'ana A1'!$M$951</f>
        <v>#REF!</v>
      </c>
      <c r="F169" s="140" t="e">
        <f t="shared" si="43"/>
        <v>#REF!</v>
      </c>
      <c r="G169" s="141"/>
    </row>
    <row r="170" spans="1:7" s="315" customFormat="1" ht="30" customHeight="1">
      <c r="A170" s="342">
        <f t="shared" si="44"/>
        <v>16.250000000000039</v>
      </c>
      <c r="B170" s="234" t="s">
        <v>723</v>
      </c>
      <c r="C170" s="139">
        <v>24.51</v>
      </c>
      <c r="D170" s="139" t="s">
        <v>39</v>
      </c>
      <c r="E170" s="139" t="e">
        <f>'ana A1'!$G$917</f>
        <v>#REF!</v>
      </c>
      <c r="F170" s="140" t="e">
        <f t="shared" si="43"/>
        <v>#REF!</v>
      </c>
      <c r="G170" s="141"/>
    </row>
    <row r="171" spans="1:7" s="315" customFormat="1" ht="30" customHeight="1">
      <c r="A171" s="342">
        <f t="shared" si="44"/>
        <v>16.260000000000041</v>
      </c>
      <c r="B171" s="234" t="s">
        <v>934</v>
      </c>
      <c r="C171" s="139" t="e">
        <f>#REF!</f>
        <v>#REF!</v>
      </c>
      <c r="D171" s="240" t="s">
        <v>479</v>
      </c>
      <c r="E171" s="240" t="e">
        <f>'ana A1'!$F$848</f>
        <v>#REF!</v>
      </c>
      <c r="F171" s="140" t="e">
        <f t="shared" si="43"/>
        <v>#REF!</v>
      </c>
      <c r="G171" s="141"/>
    </row>
    <row r="172" spans="1:7" s="315" customFormat="1" ht="22.5" customHeight="1">
      <c r="A172" s="342">
        <f t="shared" si="44"/>
        <v>16.270000000000042</v>
      </c>
      <c r="B172" s="234" t="s">
        <v>758</v>
      </c>
      <c r="C172" s="139" t="e">
        <f>#REF!</f>
        <v>#REF!</v>
      </c>
      <c r="D172" s="139" t="s">
        <v>658</v>
      </c>
      <c r="E172" s="240" t="e">
        <f>'ana A1'!$F$775</f>
        <v>#REF!</v>
      </c>
      <c r="F172" s="140" t="e">
        <f t="shared" si="43"/>
        <v>#REF!</v>
      </c>
      <c r="G172" s="141" t="e">
        <f>SUM(F146:F172)</f>
        <v>#REF!</v>
      </c>
    </row>
    <row r="173" spans="1:7" s="315" customFormat="1" ht="20.25" customHeight="1">
      <c r="A173" s="242">
        <v>17</v>
      </c>
      <c r="B173" s="343" t="s">
        <v>654</v>
      </c>
      <c r="C173" s="139"/>
      <c r="D173" s="139"/>
      <c r="E173" s="139"/>
      <c r="F173" s="140"/>
      <c r="G173" s="141"/>
    </row>
    <row r="174" spans="1:7" s="315" customFormat="1" ht="21" customHeight="1">
      <c r="A174" s="342">
        <f>A173+0.01</f>
        <v>17.010000000000002</v>
      </c>
      <c r="B174" s="241" t="s">
        <v>898</v>
      </c>
      <c r="C174" s="139" t="e">
        <f>#REF!</f>
        <v>#REF!</v>
      </c>
      <c r="D174" s="139" t="s">
        <v>438</v>
      </c>
      <c r="E174" s="139" t="e">
        <f>#REF!</f>
        <v>#REF!</v>
      </c>
      <c r="F174" s="140" t="e">
        <f t="shared" ref="F174" si="45">ROUND(C174*E174,2)</f>
        <v>#REF!</v>
      </c>
      <c r="G174" s="141"/>
    </row>
    <row r="175" spans="1:7" s="315" customFormat="1" ht="21" customHeight="1">
      <c r="A175" s="342">
        <f t="shared" ref="A175:A179" si="46">A174+0.01</f>
        <v>17.020000000000003</v>
      </c>
      <c r="B175" s="241" t="s">
        <v>899</v>
      </c>
      <c r="C175" s="139" t="e">
        <f>#REF!</f>
        <v>#REF!</v>
      </c>
      <c r="D175" s="139" t="s">
        <v>438</v>
      </c>
      <c r="E175" s="139" t="e">
        <f>#REF!</f>
        <v>#REF!</v>
      </c>
      <c r="F175" s="140" t="e">
        <f>ROUND(C175*E175,2)</f>
        <v>#REF!</v>
      </c>
      <c r="G175" s="141"/>
    </row>
    <row r="176" spans="1:7" s="315" customFormat="1" ht="21" customHeight="1">
      <c r="A176" s="342">
        <f t="shared" si="46"/>
        <v>17.030000000000005</v>
      </c>
      <c r="B176" s="234" t="s">
        <v>895</v>
      </c>
      <c r="C176" s="139" t="e">
        <f>#REF!</f>
        <v>#REF!</v>
      </c>
      <c r="D176" s="139" t="s">
        <v>438</v>
      </c>
      <c r="E176" s="139" t="e">
        <f>#REF!</f>
        <v>#REF!</v>
      </c>
      <c r="F176" s="140" t="e">
        <f t="shared" ref="F176" si="47">ROUND(C176*E176,2)</f>
        <v>#REF!</v>
      </c>
      <c r="G176" s="141"/>
    </row>
    <row r="177" spans="1:7" s="315" customFormat="1" ht="21" customHeight="1">
      <c r="A177" s="342">
        <f t="shared" si="46"/>
        <v>17.040000000000006</v>
      </c>
      <c r="B177" s="234" t="s">
        <v>896</v>
      </c>
      <c r="C177" s="139" t="e">
        <f>#REF!</f>
        <v>#REF!</v>
      </c>
      <c r="D177" s="139" t="s">
        <v>438</v>
      </c>
      <c r="E177" s="139" t="e">
        <f>#REF!</f>
        <v>#REF!</v>
      </c>
      <c r="F177" s="140" t="e">
        <f t="shared" ref="F177" si="48">ROUND(C177*E177,2)</f>
        <v>#REF!</v>
      </c>
      <c r="G177" s="141"/>
    </row>
    <row r="178" spans="1:7" s="315" customFormat="1" ht="19.5" customHeight="1">
      <c r="A178" s="342">
        <f>A176+0.01</f>
        <v>17.040000000000006</v>
      </c>
      <c r="B178" s="241" t="s">
        <v>735</v>
      </c>
      <c r="C178" s="139" t="e">
        <f>#REF!</f>
        <v>#REF!</v>
      </c>
      <c r="D178" s="139" t="s">
        <v>438</v>
      </c>
      <c r="E178" s="139" t="e">
        <f>#REF!</f>
        <v>#REF!</v>
      </c>
      <c r="F178" s="140" t="e">
        <f>ROUND(C178*E178,2)</f>
        <v>#REF!</v>
      </c>
      <c r="G178" s="141"/>
    </row>
    <row r="179" spans="1:7" s="315" customFormat="1" ht="20.25" customHeight="1">
      <c r="A179" s="342">
        <f t="shared" si="46"/>
        <v>17.050000000000008</v>
      </c>
      <c r="B179" s="234" t="s">
        <v>732</v>
      </c>
      <c r="C179" s="139" t="e">
        <f>#REF!</f>
        <v>#REF!</v>
      </c>
      <c r="D179" s="139" t="s">
        <v>438</v>
      </c>
      <c r="E179" s="139" t="e">
        <f>#REF!</f>
        <v>#REF!</v>
      </c>
      <c r="F179" s="140" t="e">
        <f>ROUND(C179*E179,2)</f>
        <v>#REF!</v>
      </c>
      <c r="G179" s="141" t="e">
        <f>SUM(F174:F179)</f>
        <v>#REF!</v>
      </c>
    </row>
    <row r="180" spans="1:7" s="315" customFormat="1" ht="20.25" customHeight="1">
      <c r="A180" s="242">
        <v>18</v>
      </c>
      <c r="B180" s="343" t="s">
        <v>480</v>
      </c>
      <c r="C180" s="139"/>
      <c r="D180" s="139"/>
      <c r="E180" s="139"/>
      <c r="F180" s="140"/>
      <c r="G180" s="141"/>
    </row>
    <row r="181" spans="1:7" s="315" customFormat="1" ht="20.25" customHeight="1">
      <c r="A181" s="342">
        <f>A180+0.01</f>
        <v>18.010000000000002</v>
      </c>
      <c r="B181" s="235" t="s">
        <v>223</v>
      </c>
      <c r="C181" s="139" t="e">
        <f>#REF!</f>
        <v>#REF!</v>
      </c>
      <c r="D181" s="139" t="s">
        <v>438</v>
      </c>
      <c r="E181" s="139">
        <f>'ana A1'!$F$55</f>
        <v>125.82370457166</v>
      </c>
      <c r="F181" s="140" t="e">
        <f t="shared" ref="F181:F187" si="49">ROUND(C181*E181,2)</f>
        <v>#REF!</v>
      </c>
      <c r="G181" s="141"/>
    </row>
    <row r="182" spans="1:7" s="315" customFormat="1" ht="20.25" customHeight="1">
      <c r="A182" s="342">
        <f t="shared" ref="A182:A187" si="50">A181+0.01</f>
        <v>18.020000000000003</v>
      </c>
      <c r="B182" s="235" t="s">
        <v>655</v>
      </c>
      <c r="C182" s="139" t="e">
        <f>#REF!</f>
        <v>#REF!</v>
      </c>
      <c r="D182" s="139" t="s">
        <v>438</v>
      </c>
      <c r="E182" s="139" t="e">
        <f>#REF!</f>
        <v>#REF!</v>
      </c>
      <c r="F182" s="140" t="e">
        <f t="shared" si="49"/>
        <v>#REF!</v>
      </c>
      <c r="G182" s="141"/>
    </row>
    <row r="183" spans="1:7" s="315" customFormat="1" ht="20.25" customHeight="1">
      <c r="A183" s="342">
        <f t="shared" si="50"/>
        <v>18.030000000000005</v>
      </c>
      <c r="B183" s="235" t="s">
        <v>681</v>
      </c>
      <c r="C183" s="139" t="e">
        <f>#REF!</f>
        <v>#REF!</v>
      </c>
      <c r="D183" s="139" t="s">
        <v>438</v>
      </c>
      <c r="E183" s="139" t="e">
        <f>#REF!</f>
        <v>#REF!</v>
      </c>
      <c r="F183" s="140" t="e">
        <f t="shared" si="49"/>
        <v>#REF!</v>
      </c>
      <c r="G183" s="141"/>
    </row>
    <row r="184" spans="1:7" s="315" customFormat="1" ht="20.25" customHeight="1">
      <c r="A184" s="342">
        <f t="shared" si="50"/>
        <v>18.040000000000006</v>
      </c>
      <c r="B184" s="235" t="s">
        <v>657</v>
      </c>
      <c r="C184" s="139" t="e">
        <f>#REF!</f>
        <v>#REF!</v>
      </c>
      <c r="D184" s="139" t="s">
        <v>438</v>
      </c>
      <c r="E184" s="139" t="e">
        <f>#REF!</f>
        <v>#REF!</v>
      </c>
      <c r="F184" s="140" t="e">
        <f t="shared" si="49"/>
        <v>#REF!</v>
      </c>
      <c r="G184" s="141"/>
    </row>
    <row r="185" spans="1:7" s="315" customFormat="1" ht="20.25" customHeight="1">
      <c r="A185" s="342">
        <f t="shared" si="50"/>
        <v>18.050000000000008</v>
      </c>
      <c r="B185" s="232" t="s">
        <v>674</v>
      </c>
      <c r="C185" s="139" t="e">
        <f>#REF!</f>
        <v>#REF!</v>
      </c>
      <c r="D185" s="139" t="s">
        <v>658</v>
      </c>
      <c r="E185" s="139" t="e">
        <f>#REF!</f>
        <v>#REF!</v>
      </c>
      <c r="F185" s="140" t="e">
        <f t="shared" si="49"/>
        <v>#REF!</v>
      </c>
      <c r="G185" s="141"/>
    </row>
    <row r="186" spans="1:7" s="315" customFormat="1" ht="20.25" customHeight="1">
      <c r="A186" s="342">
        <f t="shared" si="50"/>
        <v>18.060000000000009</v>
      </c>
      <c r="B186" s="235" t="s">
        <v>682</v>
      </c>
      <c r="C186" s="139" t="e">
        <f>#REF!</f>
        <v>#REF!</v>
      </c>
      <c r="D186" s="139" t="s">
        <v>658</v>
      </c>
      <c r="E186" s="139" t="e">
        <f>#REF!</f>
        <v>#REF!</v>
      </c>
      <c r="F186" s="140" t="e">
        <f t="shared" si="49"/>
        <v>#REF!</v>
      </c>
    </row>
    <row r="187" spans="1:7" s="315" customFormat="1" ht="20.25" customHeight="1">
      <c r="A187" s="342">
        <f t="shared" si="50"/>
        <v>18.070000000000011</v>
      </c>
      <c r="B187" s="235" t="s">
        <v>933</v>
      </c>
      <c r="C187" s="139" t="e">
        <f>#REF!</f>
        <v>#REF!</v>
      </c>
      <c r="D187" s="139" t="s">
        <v>658</v>
      </c>
      <c r="E187" s="139">
        <v>136.75</v>
      </c>
      <c r="F187" s="140" t="e">
        <f t="shared" si="49"/>
        <v>#REF!</v>
      </c>
      <c r="G187" s="141" t="e">
        <f>SUM(F181:F187)</f>
        <v>#REF!</v>
      </c>
    </row>
    <row r="188" spans="1:7" s="315" customFormat="1" ht="20.25" customHeight="1">
      <c r="A188" s="242">
        <v>19</v>
      </c>
      <c r="B188" s="343" t="s">
        <v>659</v>
      </c>
      <c r="C188" s="139"/>
      <c r="D188" s="139"/>
      <c r="E188" s="139"/>
      <c r="F188" s="140"/>
      <c r="G188" s="141"/>
    </row>
    <row r="189" spans="1:7" s="315" customFormat="1" ht="20.25" customHeight="1">
      <c r="A189" s="342">
        <f t="shared" ref="A189:A193" si="51">A188+0.01</f>
        <v>19.010000000000002</v>
      </c>
      <c r="B189" s="234" t="s">
        <v>918</v>
      </c>
      <c r="C189" s="139" t="e">
        <f>#REF!</f>
        <v>#REF!</v>
      </c>
      <c r="D189" s="139" t="s">
        <v>438</v>
      </c>
      <c r="E189" s="139">
        <v>1854.48</v>
      </c>
      <c r="F189" s="140" t="e">
        <f t="shared" ref="F189:F193" si="52">ROUND(C189*E189,2)</f>
        <v>#REF!</v>
      </c>
      <c r="G189" s="141"/>
    </row>
    <row r="190" spans="1:7" s="315" customFormat="1" ht="20.25" customHeight="1">
      <c r="A190" s="342">
        <f t="shared" si="51"/>
        <v>19.020000000000003</v>
      </c>
      <c r="B190" s="234" t="s">
        <v>796</v>
      </c>
      <c r="C190" s="139" t="e">
        <f>#REF!</f>
        <v>#REF!</v>
      </c>
      <c r="D190" s="139" t="s">
        <v>438</v>
      </c>
      <c r="E190" s="139">
        <v>1470.93</v>
      </c>
      <c r="F190" s="140" t="e">
        <f t="shared" si="52"/>
        <v>#REF!</v>
      </c>
      <c r="G190" s="141"/>
    </row>
    <row r="191" spans="1:7" s="315" customFormat="1" ht="20.25" customHeight="1">
      <c r="A191" s="342">
        <f t="shared" si="51"/>
        <v>19.030000000000005</v>
      </c>
      <c r="B191" s="235" t="s">
        <v>919</v>
      </c>
      <c r="C191" s="139" t="e">
        <f>#REF!</f>
        <v>#REF!</v>
      </c>
      <c r="D191" s="139" t="s">
        <v>479</v>
      </c>
      <c r="E191" s="139">
        <v>240.02</v>
      </c>
      <c r="F191" s="140" t="e">
        <f t="shared" si="52"/>
        <v>#REF!</v>
      </c>
      <c r="G191" s="141"/>
    </row>
    <row r="192" spans="1:7" s="315" customFormat="1" ht="20.25" customHeight="1">
      <c r="A192" s="342">
        <f t="shared" si="51"/>
        <v>19.040000000000006</v>
      </c>
      <c r="B192" s="235" t="s">
        <v>798</v>
      </c>
      <c r="C192" s="139" t="e">
        <f>#REF!</f>
        <v>#REF!</v>
      </c>
      <c r="D192" s="139" t="s">
        <v>479</v>
      </c>
      <c r="E192" s="139" t="e">
        <f>#REF!</f>
        <v>#REF!</v>
      </c>
      <c r="F192" s="140" t="e">
        <f t="shared" si="52"/>
        <v>#REF!</v>
      </c>
      <c r="G192" s="141"/>
    </row>
    <row r="193" spans="1:9" s="315" customFormat="1" ht="20.25" customHeight="1">
      <c r="A193" s="342">
        <f t="shared" si="51"/>
        <v>19.050000000000008</v>
      </c>
      <c r="B193" s="235" t="s">
        <v>952</v>
      </c>
      <c r="C193" s="139" t="e">
        <f>#REF!</f>
        <v>#REF!</v>
      </c>
      <c r="D193" s="139" t="s">
        <v>479</v>
      </c>
      <c r="E193" s="139" t="e">
        <f>#REF!</f>
        <v>#REF!</v>
      </c>
      <c r="F193" s="140" t="e">
        <f t="shared" si="52"/>
        <v>#REF!</v>
      </c>
      <c r="G193" s="141" t="e">
        <f>SUM(F189:F193)</f>
        <v>#REF!</v>
      </c>
    </row>
    <row r="194" spans="1:9" s="315" customFormat="1" ht="20.25" customHeight="1">
      <c r="A194" s="242">
        <v>20</v>
      </c>
      <c r="B194" s="343" t="s">
        <v>660</v>
      </c>
      <c r="C194" s="139"/>
      <c r="D194" s="139"/>
      <c r="E194" s="139"/>
      <c r="F194" s="140"/>
      <c r="G194" s="141"/>
    </row>
    <row r="195" spans="1:9" s="315" customFormat="1" ht="20.25" customHeight="1">
      <c r="A195" s="342">
        <f t="shared" ref="A195" si="53">A194+0.01</f>
        <v>20.010000000000002</v>
      </c>
      <c r="B195" s="232" t="s">
        <v>775</v>
      </c>
      <c r="C195" s="139" t="e">
        <f>#REF!</f>
        <v>#REF!</v>
      </c>
      <c r="D195" s="139" t="s">
        <v>438</v>
      </c>
      <c r="E195" s="139" t="e">
        <f>#REF!</f>
        <v>#REF!</v>
      </c>
      <c r="F195" s="140" t="e">
        <f>ROUND(C195*E195,2)</f>
        <v>#REF!</v>
      </c>
      <c r="G195" s="141" t="e">
        <f>SUM(F195)</f>
        <v>#REF!</v>
      </c>
    </row>
    <row r="196" spans="1:9" s="315" customFormat="1" ht="20.25" customHeight="1">
      <c r="A196" s="231">
        <v>21</v>
      </c>
      <c r="B196" s="230" t="s">
        <v>677</v>
      </c>
      <c r="C196" s="139"/>
      <c r="D196" s="139"/>
      <c r="E196" s="139"/>
      <c r="F196" s="140"/>
      <c r="G196" s="141"/>
    </row>
    <row r="197" spans="1:9" s="315" customFormat="1" ht="20.25" customHeight="1">
      <c r="A197" s="229">
        <f t="shared" ref="A197:A199" si="54">A196+0.01</f>
        <v>21.01</v>
      </c>
      <c r="B197" s="232" t="s">
        <v>21</v>
      </c>
      <c r="C197" s="139" t="e">
        <f>#REF!</f>
        <v>#REF!</v>
      </c>
      <c r="D197" s="139" t="s">
        <v>658</v>
      </c>
      <c r="E197" s="139" t="e">
        <f>#REF!</f>
        <v>#REF!</v>
      </c>
      <c r="F197" s="140" t="e">
        <f t="shared" ref="F197:F199" si="55">ROUND(C197*E197,2)</f>
        <v>#REF!</v>
      </c>
      <c r="G197" s="141"/>
    </row>
    <row r="198" spans="1:9" s="315" customFormat="1" ht="20.25" customHeight="1">
      <c r="A198" s="229">
        <f t="shared" si="54"/>
        <v>21.020000000000003</v>
      </c>
      <c r="B198" s="232" t="s">
        <v>678</v>
      </c>
      <c r="C198" s="139" t="e">
        <f>#REF!</f>
        <v>#REF!</v>
      </c>
      <c r="D198" s="139" t="s">
        <v>438</v>
      </c>
      <c r="E198" s="139">
        <f>$E$189</f>
        <v>1854.48</v>
      </c>
      <c r="F198" s="140" t="e">
        <f t="shared" si="55"/>
        <v>#REF!</v>
      </c>
      <c r="G198" s="141"/>
    </row>
    <row r="199" spans="1:9" s="315" customFormat="1" ht="20.25" customHeight="1">
      <c r="A199" s="229">
        <f t="shared" si="54"/>
        <v>21.030000000000005</v>
      </c>
      <c r="B199" s="232" t="s">
        <v>762</v>
      </c>
      <c r="C199" s="139" t="e">
        <f>#REF!</f>
        <v>#REF!</v>
      </c>
      <c r="D199" s="139" t="s">
        <v>679</v>
      </c>
      <c r="E199" s="139" t="e">
        <f>#REF!</f>
        <v>#REF!</v>
      </c>
      <c r="F199" s="140" t="e">
        <f t="shared" si="55"/>
        <v>#REF!</v>
      </c>
      <c r="G199" s="141" t="e">
        <f>SUM(F197:F199)</f>
        <v>#REF!</v>
      </c>
    </row>
    <row r="200" spans="1:9" s="315" customFormat="1" ht="20.25" customHeight="1">
      <c r="A200" s="242">
        <v>22</v>
      </c>
      <c r="B200" s="343" t="s">
        <v>683</v>
      </c>
      <c r="C200" s="139"/>
      <c r="D200" s="139"/>
      <c r="E200" s="139"/>
      <c r="F200" s="140"/>
      <c r="G200" s="141"/>
    </row>
    <row r="201" spans="1:9" s="315" customFormat="1" ht="34.5" customHeight="1">
      <c r="A201" s="342">
        <f t="shared" ref="A201:A212" si="56">A200+0.01</f>
        <v>22.01</v>
      </c>
      <c r="B201" s="398" t="s">
        <v>968</v>
      </c>
      <c r="C201" s="399">
        <f>1*1.1*16</f>
        <v>17.600000000000001</v>
      </c>
      <c r="D201" s="400" t="s">
        <v>438</v>
      </c>
      <c r="E201" s="139">
        <v>8814.1</v>
      </c>
      <c r="F201" s="140">
        <f>ROUND(C201*E201,2)</f>
        <v>155128.16</v>
      </c>
      <c r="G201" s="141"/>
    </row>
    <row r="202" spans="1:9" s="315" customFormat="1" ht="34.5" customHeight="1">
      <c r="A202" s="342">
        <f t="shared" si="56"/>
        <v>22.020000000000003</v>
      </c>
      <c r="B202" s="398" t="s">
        <v>969</v>
      </c>
      <c r="C202" s="399">
        <f>1*0.6*16</f>
        <v>9.6</v>
      </c>
      <c r="D202" s="400" t="s">
        <v>438</v>
      </c>
      <c r="E202" s="139">
        <v>8814.1</v>
      </c>
      <c r="F202" s="140">
        <f t="shared" ref="F202:F211" si="57">ROUND(C202*E202,2)</f>
        <v>84615.360000000001</v>
      </c>
      <c r="G202" s="141"/>
    </row>
    <row r="203" spans="1:9" s="315" customFormat="1" ht="34.5" customHeight="1">
      <c r="A203" s="342">
        <f t="shared" si="56"/>
        <v>22.030000000000005</v>
      </c>
      <c r="B203" s="398" t="s">
        <v>973</v>
      </c>
      <c r="C203" s="399">
        <f>1.2*0.6*4</f>
        <v>2.88</v>
      </c>
      <c r="D203" s="400" t="s">
        <v>438</v>
      </c>
      <c r="E203" s="139">
        <v>8814.1</v>
      </c>
      <c r="F203" s="140">
        <f t="shared" ref="F203" si="58">ROUND(C203*E203,2)</f>
        <v>25384.61</v>
      </c>
      <c r="G203" s="141"/>
    </row>
    <row r="204" spans="1:9" s="315" customFormat="1" ht="34.5" customHeight="1">
      <c r="A204" s="342">
        <f t="shared" si="56"/>
        <v>22.040000000000006</v>
      </c>
      <c r="B204" s="398" t="s">
        <v>972</v>
      </c>
      <c r="C204" s="399">
        <f>2.4*0.6*4</f>
        <v>5.76</v>
      </c>
      <c r="D204" s="400" t="s">
        <v>438</v>
      </c>
      <c r="E204" s="139">
        <v>8814.1</v>
      </c>
      <c r="F204" s="140">
        <f t="shared" ref="F204:F205" si="59">ROUND(C204*E204,2)</f>
        <v>50769.22</v>
      </c>
      <c r="G204" s="141"/>
    </row>
    <row r="205" spans="1:9" s="315" customFormat="1" ht="34.5" customHeight="1">
      <c r="A205" s="342">
        <f t="shared" si="56"/>
        <v>22.050000000000008</v>
      </c>
      <c r="B205" s="398" t="s">
        <v>971</v>
      </c>
      <c r="C205" s="399">
        <f>1.1*1.88*8</f>
        <v>16.544</v>
      </c>
      <c r="D205" s="400" t="s">
        <v>438</v>
      </c>
      <c r="E205" s="139">
        <v>8814.1</v>
      </c>
      <c r="F205" s="140">
        <f t="shared" si="59"/>
        <v>145820.47</v>
      </c>
      <c r="G205" s="141"/>
    </row>
    <row r="206" spans="1:9" s="315" customFormat="1" ht="31.5" customHeight="1">
      <c r="A206" s="342">
        <f>A205+0.01</f>
        <v>22.060000000000009</v>
      </c>
      <c r="B206" s="398" t="s">
        <v>970</v>
      </c>
      <c r="C206" s="399">
        <f>1.2*1.1</f>
        <v>1.32</v>
      </c>
      <c r="D206" s="400" t="s">
        <v>438</v>
      </c>
      <c r="E206" s="139">
        <v>8814.1</v>
      </c>
      <c r="F206" s="140">
        <f>ROUND(C206*E206,2)</f>
        <v>11634.61</v>
      </c>
      <c r="G206" s="141"/>
    </row>
    <row r="207" spans="1:9" s="315" customFormat="1" ht="32.25" customHeight="1">
      <c r="A207" s="342">
        <f t="shared" si="56"/>
        <v>22.070000000000011</v>
      </c>
      <c r="B207" s="398" t="s">
        <v>954</v>
      </c>
      <c r="C207" s="399">
        <f>16*1*2.1+0.4*1.1*2*16</f>
        <v>47.680000000000007</v>
      </c>
      <c r="D207" s="400" t="s">
        <v>438</v>
      </c>
      <c r="E207" s="139">
        <v>9000</v>
      </c>
      <c r="F207" s="140">
        <f t="shared" si="57"/>
        <v>429120</v>
      </c>
      <c r="G207" s="141"/>
      <c r="H207" s="315">
        <v>9000</v>
      </c>
      <c r="I207" s="403" t="s">
        <v>39</v>
      </c>
    </row>
    <row r="208" spans="1:9" s="315" customFormat="1" ht="32.25" customHeight="1">
      <c r="A208" s="342">
        <f t="shared" si="56"/>
        <v>22.080000000000013</v>
      </c>
      <c r="B208" s="398" t="s">
        <v>959</v>
      </c>
      <c r="C208" s="399">
        <f>2*2.1</f>
        <v>4.2</v>
      </c>
      <c r="D208" s="400" t="s">
        <v>438</v>
      </c>
      <c r="E208" s="139">
        <v>9000</v>
      </c>
      <c r="F208" s="140">
        <f t="shared" si="57"/>
        <v>37800</v>
      </c>
      <c r="G208" s="141"/>
    </row>
    <row r="209" spans="1:7" s="315" customFormat="1" ht="32.25" customHeight="1">
      <c r="A209" s="342">
        <f t="shared" si="56"/>
        <v>22.090000000000014</v>
      </c>
      <c r="B209" s="398" t="s">
        <v>960</v>
      </c>
      <c r="C209" s="399">
        <f>2*2*2.1+2*0.75*2.1*2</f>
        <v>14.700000000000001</v>
      </c>
      <c r="D209" s="400" t="s">
        <v>438</v>
      </c>
      <c r="E209" s="139">
        <v>9000</v>
      </c>
      <c r="F209" s="140">
        <f t="shared" si="57"/>
        <v>132300</v>
      </c>
      <c r="G209" s="141"/>
    </row>
    <row r="210" spans="1:7" s="315" customFormat="1" ht="47.25" customHeight="1">
      <c r="A210" s="342">
        <f t="shared" si="56"/>
        <v>22.100000000000016</v>
      </c>
      <c r="B210" s="398" t="s">
        <v>967</v>
      </c>
      <c r="C210" s="399">
        <v>2</v>
      </c>
      <c r="D210" s="400" t="s">
        <v>16</v>
      </c>
      <c r="E210" s="139">
        <v>86122</v>
      </c>
      <c r="F210" s="140">
        <f t="shared" si="57"/>
        <v>172244</v>
      </c>
      <c r="G210" s="141"/>
    </row>
    <row r="211" spans="1:7" s="315" customFormat="1" ht="23.25" customHeight="1">
      <c r="A211" s="342">
        <f t="shared" si="56"/>
        <v>22.110000000000017</v>
      </c>
      <c r="B211" s="236" t="s">
        <v>966</v>
      </c>
      <c r="C211" s="139" t="e">
        <f>#REF!</f>
        <v>#REF!</v>
      </c>
      <c r="D211" s="139" t="s">
        <v>438</v>
      </c>
      <c r="E211" s="139">
        <v>8814.1</v>
      </c>
      <c r="F211" s="140" t="e">
        <f t="shared" si="57"/>
        <v>#REF!</v>
      </c>
      <c r="G211" s="141"/>
    </row>
    <row r="212" spans="1:7" s="315" customFormat="1" ht="20.25" customHeight="1">
      <c r="A212" s="342">
        <f t="shared" si="56"/>
        <v>22.120000000000019</v>
      </c>
      <c r="B212" s="356" t="s">
        <v>977</v>
      </c>
      <c r="C212" s="139" t="e">
        <f>#REF!</f>
        <v>#REF!</v>
      </c>
      <c r="D212" s="240" t="s">
        <v>24</v>
      </c>
      <c r="E212" s="139">
        <f>E98</f>
        <v>1407.545175490779</v>
      </c>
      <c r="F212" s="140" t="e">
        <f t="shared" ref="F212:F217" si="60">ROUND(C212*E212,2)</f>
        <v>#REF!</v>
      </c>
      <c r="G212" s="141" t="e">
        <f>SUM(F201:F212)</f>
        <v>#REF!</v>
      </c>
    </row>
    <row r="213" spans="1:7" s="315" customFormat="1" ht="20.25" customHeight="1">
      <c r="A213" s="242">
        <v>23</v>
      </c>
      <c r="B213" s="343" t="s">
        <v>662</v>
      </c>
      <c r="C213" s="139"/>
      <c r="D213" s="139"/>
      <c r="E213" s="139"/>
      <c r="F213" s="140"/>
      <c r="G213" s="141"/>
    </row>
    <row r="214" spans="1:7" s="315" customFormat="1" ht="20.25" customHeight="1">
      <c r="A214" s="342">
        <f>A213+0.01</f>
        <v>23.01</v>
      </c>
      <c r="B214" s="398" t="s">
        <v>965</v>
      </c>
      <c r="C214" s="139">
        <v>16</v>
      </c>
      <c r="D214" s="240" t="s">
        <v>16</v>
      </c>
      <c r="E214" s="139">
        <v>8500</v>
      </c>
      <c r="F214" s="140">
        <f t="shared" si="60"/>
        <v>136000</v>
      </c>
      <c r="G214" s="141"/>
    </row>
    <row r="215" spans="1:7" s="315" customFormat="1" ht="30" customHeight="1">
      <c r="A215" s="342">
        <f t="shared" ref="A215:A216" si="61">A214+0.01</f>
        <v>23.020000000000003</v>
      </c>
      <c r="B215" s="398" t="s">
        <v>957</v>
      </c>
      <c r="C215" s="399">
        <v>2</v>
      </c>
      <c r="D215" s="400" t="s">
        <v>16</v>
      </c>
      <c r="E215" s="139">
        <v>30000</v>
      </c>
      <c r="F215" s="140">
        <f t="shared" si="60"/>
        <v>60000</v>
      </c>
      <c r="G215" s="141"/>
    </row>
    <row r="216" spans="1:7" s="315" customFormat="1" ht="20.25" customHeight="1">
      <c r="A216" s="342">
        <f t="shared" si="61"/>
        <v>23.030000000000005</v>
      </c>
      <c r="B216" s="398" t="s">
        <v>958</v>
      </c>
      <c r="C216" s="399">
        <v>1</v>
      </c>
      <c r="D216" s="400" t="s">
        <v>16</v>
      </c>
      <c r="E216" s="139">
        <v>8500</v>
      </c>
      <c r="F216" s="140">
        <f t="shared" si="60"/>
        <v>8500</v>
      </c>
      <c r="G216" s="141"/>
    </row>
    <row r="217" spans="1:7" s="315" customFormat="1" ht="19.5" customHeight="1">
      <c r="A217" s="342">
        <f t="shared" ref="A217" si="62">A216+0.01</f>
        <v>23.040000000000006</v>
      </c>
      <c r="B217" s="398" t="s">
        <v>962</v>
      </c>
      <c r="C217" s="399">
        <v>1</v>
      </c>
      <c r="D217" s="400" t="s">
        <v>16</v>
      </c>
      <c r="E217" s="139">
        <v>8500</v>
      </c>
      <c r="F217" s="140">
        <f t="shared" si="60"/>
        <v>8500</v>
      </c>
      <c r="G217" s="141">
        <f>SUM(F214:F217)</f>
        <v>213000</v>
      </c>
    </row>
    <row r="218" spans="1:7" s="315" customFormat="1" ht="20.25" customHeight="1">
      <c r="A218" s="242">
        <v>24</v>
      </c>
      <c r="B218" s="343" t="s">
        <v>663</v>
      </c>
      <c r="C218" s="139"/>
      <c r="D218" s="139"/>
      <c r="E218" s="139"/>
      <c r="F218" s="140"/>
      <c r="G218" s="141"/>
    </row>
    <row r="219" spans="1:7" s="315" customFormat="1" ht="23.25" customHeight="1">
      <c r="A219" s="342">
        <f t="shared" ref="A219:A228" si="63">A218+0.01</f>
        <v>24.01</v>
      </c>
      <c r="B219" s="234" t="s">
        <v>1001</v>
      </c>
      <c r="C219" s="139" t="e">
        <f>#REF!</f>
        <v>#REF!</v>
      </c>
      <c r="D219" s="139" t="s">
        <v>664</v>
      </c>
      <c r="E219" s="139">
        <f>E105</f>
        <v>1384.1399999999999</v>
      </c>
      <c r="F219" s="140" t="e">
        <f t="shared" ref="F219:F221" si="64">ROUND(C219*E219,2)</f>
        <v>#REF!</v>
      </c>
      <c r="G219" s="141"/>
    </row>
    <row r="220" spans="1:7" s="315" customFormat="1" ht="21" customHeight="1">
      <c r="A220" s="342">
        <f t="shared" si="63"/>
        <v>24.020000000000003</v>
      </c>
      <c r="B220" s="234" t="s">
        <v>964</v>
      </c>
      <c r="C220" s="139">
        <f>1.2*1.1*1</f>
        <v>1.32</v>
      </c>
      <c r="D220" s="240" t="s">
        <v>39</v>
      </c>
      <c r="E220" s="139">
        <v>3500</v>
      </c>
      <c r="F220" s="140">
        <f t="shared" si="64"/>
        <v>4620</v>
      </c>
      <c r="G220" s="141"/>
    </row>
    <row r="221" spans="1:7" s="315" customFormat="1" ht="21" customHeight="1">
      <c r="A221" s="342">
        <f t="shared" si="63"/>
        <v>24.030000000000005</v>
      </c>
      <c r="B221" s="234" t="s">
        <v>963</v>
      </c>
      <c r="C221" s="139">
        <f>0.8*0.6*2</f>
        <v>0.96</v>
      </c>
      <c r="D221" s="240" t="s">
        <v>39</v>
      </c>
      <c r="E221" s="139">
        <v>3500</v>
      </c>
      <c r="F221" s="140">
        <f t="shared" si="64"/>
        <v>3360</v>
      </c>
      <c r="G221" s="141" t="e">
        <f>SUM(F219:F221)</f>
        <v>#REF!</v>
      </c>
    </row>
    <row r="222" spans="1:7" s="315" customFormat="1" ht="20.25" customHeight="1">
      <c r="A222" s="242">
        <v>25</v>
      </c>
      <c r="B222" s="343" t="s">
        <v>481</v>
      </c>
      <c r="C222" s="139"/>
      <c r="D222" s="139"/>
      <c r="E222" s="139"/>
      <c r="F222" s="140"/>
      <c r="G222" s="141"/>
    </row>
    <row r="223" spans="1:7" s="315" customFormat="1" ht="20.25" customHeight="1">
      <c r="A223" s="342">
        <f t="shared" si="63"/>
        <v>25.01</v>
      </c>
      <c r="B223" s="235" t="s">
        <v>684</v>
      </c>
      <c r="C223" s="139" t="e">
        <f>#REF!</f>
        <v>#REF!</v>
      </c>
      <c r="D223" s="139" t="s">
        <v>39</v>
      </c>
      <c r="E223" s="139" t="e">
        <f>#REF!</f>
        <v>#REF!</v>
      </c>
      <c r="F223" s="140" t="e">
        <f t="shared" ref="F223:F228" si="65">ROUND(C223*E223,2)</f>
        <v>#REF!</v>
      </c>
      <c r="G223" s="141"/>
    </row>
    <row r="224" spans="1:7" s="315" customFormat="1" ht="20.25" customHeight="1">
      <c r="A224" s="342">
        <f t="shared" si="63"/>
        <v>25.020000000000003</v>
      </c>
      <c r="B224" s="235" t="s">
        <v>675</v>
      </c>
      <c r="C224" s="139" t="e">
        <f>#REF!</f>
        <v>#REF!</v>
      </c>
      <c r="D224" s="139" t="s">
        <v>39</v>
      </c>
      <c r="E224" s="139" t="e">
        <f>#REF!</f>
        <v>#REF!</v>
      </c>
      <c r="F224" s="140" t="e">
        <f t="shared" si="65"/>
        <v>#REF!</v>
      </c>
      <c r="G224" s="141"/>
    </row>
    <row r="225" spans="1:8" s="315" customFormat="1" ht="20.25" customHeight="1">
      <c r="A225" s="342">
        <f t="shared" si="63"/>
        <v>25.030000000000005</v>
      </c>
      <c r="B225" s="235" t="s">
        <v>666</v>
      </c>
      <c r="C225" s="139" t="e">
        <f>#REF!</f>
        <v>#REF!</v>
      </c>
      <c r="D225" s="139" t="s">
        <v>39</v>
      </c>
      <c r="E225" s="139" t="e">
        <f>#REF!</f>
        <v>#REF!</v>
      </c>
      <c r="F225" s="140" t="e">
        <f t="shared" si="65"/>
        <v>#REF!</v>
      </c>
      <c r="G225" s="141"/>
    </row>
    <row r="226" spans="1:8" s="315" customFormat="1" ht="20.25" customHeight="1">
      <c r="A226" s="342">
        <f t="shared" si="63"/>
        <v>25.040000000000006</v>
      </c>
      <c r="B226" s="235" t="s">
        <v>667</v>
      </c>
      <c r="C226" s="139" t="e">
        <f>#REF!</f>
        <v>#REF!</v>
      </c>
      <c r="D226" s="139" t="s">
        <v>39</v>
      </c>
      <c r="E226" s="139" t="e">
        <f>#REF!</f>
        <v>#REF!</v>
      </c>
      <c r="F226" s="140" t="e">
        <f t="shared" si="65"/>
        <v>#REF!</v>
      </c>
      <c r="G226" s="141"/>
    </row>
    <row r="227" spans="1:8" s="315" customFormat="1" ht="20.25" customHeight="1">
      <c r="A227" s="342">
        <f t="shared" si="63"/>
        <v>25.050000000000008</v>
      </c>
      <c r="B227" s="235" t="s">
        <v>668</v>
      </c>
      <c r="C227" s="139" t="e">
        <f>#REF!</f>
        <v>#REF!</v>
      </c>
      <c r="D227" s="139" t="s">
        <v>39</v>
      </c>
      <c r="E227" s="139" t="e">
        <f>#REF!</f>
        <v>#REF!</v>
      </c>
      <c r="F227" s="140" t="e">
        <f t="shared" si="65"/>
        <v>#REF!</v>
      </c>
    </row>
    <row r="228" spans="1:8" s="315" customFormat="1" ht="22.5" customHeight="1">
      <c r="A228" s="342">
        <f t="shared" si="63"/>
        <v>25.060000000000009</v>
      </c>
      <c r="B228" s="241" t="s">
        <v>978</v>
      </c>
      <c r="C228" s="139" t="e">
        <f>#REF!</f>
        <v>#REF!</v>
      </c>
      <c r="D228" s="139" t="s">
        <v>39</v>
      </c>
      <c r="E228" s="139">
        <f>'ana A1'!$M$999</f>
        <v>341.41999999999996</v>
      </c>
      <c r="F228" s="140" t="e">
        <f t="shared" si="65"/>
        <v>#REF!</v>
      </c>
      <c r="G228" s="141" t="e">
        <f>SUM(F223:F228)</f>
        <v>#REF!</v>
      </c>
    </row>
    <row r="229" spans="1:8" s="373" customFormat="1" ht="23.25" customHeight="1">
      <c r="A229" s="361">
        <v>26</v>
      </c>
      <c r="B229" s="357" t="s">
        <v>936</v>
      </c>
      <c r="C229" s="358"/>
      <c r="D229" s="359" t="s">
        <v>477</v>
      </c>
      <c r="E229" s="359"/>
      <c r="F229" s="359"/>
      <c r="G229" s="362"/>
    </row>
    <row r="230" spans="1:8" s="373" customFormat="1" ht="18" customHeight="1">
      <c r="A230" s="229">
        <f t="shared" ref="A230:A232" si="66">A229+0.01</f>
        <v>26.01</v>
      </c>
      <c r="B230" s="235" t="s">
        <v>737</v>
      </c>
      <c r="C230" s="139" t="e">
        <f>#REF!</f>
        <v>#REF!</v>
      </c>
      <c r="D230" s="139" t="s">
        <v>39</v>
      </c>
      <c r="E230" s="139" t="e">
        <f>#REF!</f>
        <v>#REF!</v>
      </c>
      <c r="F230" s="139" t="e">
        <f>ROUND(C230*E230,2)</f>
        <v>#REF!</v>
      </c>
      <c r="G230" s="141"/>
    </row>
    <row r="231" spans="1:8" s="373" customFormat="1" ht="18" customHeight="1">
      <c r="A231" s="229">
        <f t="shared" si="66"/>
        <v>26.020000000000003</v>
      </c>
      <c r="B231" s="235" t="s">
        <v>738</v>
      </c>
      <c r="C231" s="139" t="e">
        <f>#REF!</f>
        <v>#REF!</v>
      </c>
      <c r="D231" s="139" t="s">
        <v>658</v>
      </c>
      <c r="E231" s="139" t="e">
        <f>#REF!</f>
        <v>#REF!</v>
      </c>
      <c r="F231" s="139" t="e">
        <f t="shared" ref="F231" si="67">ROUND(C231*E231,2)</f>
        <v>#REF!</v>
      </c>
      <c r="G231" s="141"/>
    </row>
    <row r="232" spans="1:8" s="373" customFormat="1" ht="33" customHeight="1">
      <c r="A232" s="229">
        <f t="shared" si="66"/>
        <v>26.030000000000005</v>
      </c>
      <c r="B232" s="241" t="s">
        <v>739</v>
      </c>
      <c r="C232" s="139" t="e">
        <f>#REF!</f>
        <v>#REF!</v>
      </c>
      <c r="D232" s="139" t="s">
        <v>39</v>
      </c>
      <c r="E232" s="139">
        <f>E119</f>
        <v>692</v>
      </c>
      <c r="F232" s="139" t="e">
        <f>ROUND(C232*E232,2)</f>
        <v>#REF!</v>
      </c>
      <c r="G232" s="141" t="e">
        <f>SUM(F230:F232)</f>
        <v>#REF!</v>
      </c>
    </row>
    <row r="233" spans="1:8" s="315" customFormat="1" ht="20.25" customHeight="1">
      <c r="A233" s="344">
        <v>27</v>
      </c>
      <c r="B233" s="345" t="s">
        <v>669</v>
      </c>
      <c r="C233" s="240"/>
      <c r="D233" s="240"/>
      <c r="E233" s="139"/>
      <c r="F233" s="140"/>
      <c r="G233" s="141"/>
    </row>
    <row r="234" spans="1:8" s="315" customFormat="1" ht="20.25" customHeight="1">
      <c r="A234" s="342">
        <f t="shared" ref="A234:A242" si="68">A233+0.01</f>
        <v>27.01</v>
      </c>
      <c r="B234" s="235" t="s">
        <v>685</v>
      </c>
      <c r="C234" s="139" t="e">
        <f>#REF!</f>
        <v>#REF!</v>
      </c>
      <c r="D234" s="139" t="s">
        <v>664</v>
      </c>
      <c r="E234" s="139">
        <f>E121</f>
        <v>550</v>
      </c>
      <c r="F234" s="140" t="e">
        <f t="shared" ref="F234:F243" si="69">ROUND(C234*E234,2)</f>
        <v>#REF!</v>
      </c>
      <c r="G234" s="141"/>
    </row>
    <row r="235" spans="1:8" s="315" customFormat="1" ht="20.25" customHeight="1">
      <c r="A235" s="342">
        <f t="shared" si="68"/>
        <v>27.020000000000003</v>
      </c>
      <c r="B235" s="232" t="s">
        <v>998</v>
      </c>
      <c r="C235" s="139" t="e">
        <f>C122</f>
        <v>#REF!</v>
      </c>
      <c r="D235" s="139" t="s">
        <v>39</v>
      </c>
      <c r="E235" s="139">
        <f>E122</f>
        <v>1200</v>
      </c>
      <c r="F235" s="140" t="e">
        <f t="shared" si="69"/>
        <v>#REF!</v>
      </c>
      <c r="G235" s="141"/>
    </row>
    <row r="236" spans="1:8" s="315" customFormat="1" ht="20.25" customHeight="1">
      <c r="A236" s="342">
        <f t="shared" si="68"/>
        <v>27.030000000000005</v>
      </c>
      <c r="B236" s="234" t="s">
        <v>721</v>
      </c>
      <c r="C236" s="139" t="e">
        <f>#REF!</f>
        <v>#REF!</v>
      </c>
      <c r="D236" s="139" t="s">
        <v>479</v>
      </c>
      <c r="E236" s="139">
        <f>E132</f>
        <v>60</v>
      </c>
      <c r="F236" s="140" t="e">
        <f t="shared" si="69"/>
        <v>#REF!</v>
      </c>
      <c r="G236" s="141"/>
    </row>
    <row r="237" spans="1:8" s="315" customFormat="1" ht="22.5" customHeight="1">
      <c r="A237" s="342">
        <f t="shared" si="68"/>
        <v>27.040000000000006</v>
      </c>
      <c r="B237" s="234" t="s">
        <v>926</v>
      </c>
      <c r="C237" s="139" t="e">
        <f>C236*2</f>
        <v>#REF!</v>
      </c>
      <c r="D237" s="139" t="s">
        <v>479</v>
      </c>
      <c r="E237" s="139">
        <f>E131</f>
        <v>110.64</v>
      </c>
      <c r="F237" s="140" t="e">
        <f t="shared" si="69"/>
        <v>#REF!</v>
      </c>
      <c r="G237" s="141"/>
      <c r="H237" s="397"/>
    </row>
    <row r="238" spans="1:8" s="315" customFormat="1" ht="22.5" customHeight="1">
      <c r="A238" s="229">
        <f t="shared" si="68"/>
        <v>27.050000000000008</v>
      </c>
      <c r="B238" s="232" t="s">
        <v>992</v>
      </c>
      <c r="C238" s="139">
        <v>77.599999999999994</v>
      </c>
      <c r="D238" s="139" t="s">
        <v>479</v>
      </c>
      <c r="E238" s="139">
        <f>'ana A1'!I1145</f>
        <v>6000</v>
      </c>
      <c r="F238" s="140">
        <f t="shared" si="69"/>
        <v>465600</v>
      </c>
      <c r="G238" s="141"/>
      <c r="H238" s="397"/>
    </row>
    <row r="239" spans="1:8" s="315" customFormat="1" ht="20.25" customHeight="1">
      <c r="A239" s="342">
        <f>A237+0.01</f>
        <v>27.050000000000008</v>
      </c>
      <c r="B239" s="232" t="s">
        <v>759</v>
      </c>
      <c r="C239" s="139" t="e">
        <f>#REF!</f>
        <v>#REF!</v>
      </c>
      <c r="D239" s="139" t="s">
        <v>658</v>
      </c>
      <c r="E239" s="139">
        <f>'ana A1'!$F$1048</f>
        <v>6003.6</v>
      </c>
      <c r="F239" s="140" t="e">
        <f t="shared" si="69"/>
        <v>#REF!</v>
      </c>
      <c r="G239" s="141"/>
    </row>
    <row r="240" spans="1:8" s="315" customFormat="1" ht="29.25" customHeight="1">
      <c r="A240" s="229">
        <f t="shared" ref="A240" si="70">A239+0.01</f>
        <v>27.060000000000009</v>
      </c>
      <c r="B240" s="234" t="s">
        <v>1000</v>
      </c>
      <c r="C240" s="139">
        <v>1</v>
      </c>
      <c r="D240" s="139" t="s">
        <v>2</v>
      </c>
      <c r="E240" s="139">
        <v>29011.75</v>
      </c>
      <c r="F240" s="140">
        <f t="shared" si="69"/>
        <v>29011.75</v>
      </c>
      <c r="G240" s="141"/>
    </row>
    <row r="241" spans="1:7" s="315" customFormat="1" ht="20.25" customHeight="1">
      <c r="A241" s="342">
        <f>A239+0.01</f>
        <v>27.060000000000009</v>
      </c>
      <c r="B241" s="232" t="s">
        <v>749</v>
      </c>
      <c r="C241" s="139" t="e">
        <f>+#REF!</f>
        <v>#REF!</v>
      </c>
      <c r="D241" s="139" t="s">
        <v>39</v>
      </c>
      <c r="E241" s="139" t="e">
        <f>#REF!</f>
        <v>#REF!</v>
      </c>
      <c r="F241" s="140" t="e">
        <f t="shared" si="69"/>
        <v>#REF!</v>
      </c>
      <c r="G241" s="141"/>
    </row>
    <row r="242" spans="1:7" s="315" customFormat="1" ht="20.25" customHeight="1">
      <c r="A242" s="342">
        <f t="shared" si="68"/>
        <v>27.070000000000011</v>
      </c>
      <c r="B242" s="232" t="s">
        <v>953</v>
      </c>
      <c r="C242" s="139">
        <f>1.6*2</f>
        <v>3.2</v>
      </c>
      <c r="D242" s="139" t="s">
        <v>39</v>
      </c>
      <c r="E242" s="139" t="e">
        <f>#REF!</f>
        <v>#REF!</v>
      </c>
      <c r="F242" s="140" t="e">
        <f t="shared" ref="F242" si="71">ROUND(C242*E242,2)</f>
        <v>#REF!</v>
      </c>
      <c r="G242" s="141"/>
    </row>
    <row r="243" spans="1:7" s="315" customFormat="1" ht="20.25" customHeight="1">
      <c r="A243" s="342">
        <f>A241+0.01</f>
        <v>27.070000000000011</v>
      </c>
      <c r="B243" s="232" t="s">
        <v>979</v>
      </c>
      <c r="C243" s="139">
        <v>13.2</v>
      </c>
      <c r="D243" s="139" t="s">
        <v>658</v>
      </c>
      <c r="E243" s="139">
        <v>3339.29</v>
      </c>
      <c r="F243" s="140">
        <f t="shared" si="69"/>
        <v>44078.63</v>
      </c>
      <c r="G243" s="141" t="e">
        <f>SUM(F234:F243)</f>
        <v>#REF!</v>
      </c>
    </row>
    <row r="244" spans="1:7" s="315" customFormat="1" ht="20.25" customHeight="1">
      <c r="A244" s="342"/>
      <c r="B244" s="234"/>
      <c r="C244" s="139"/>
      <c r="D244" s="139"/>
      <c r="E244" s="139"/>
      <c r="F244" s="140"/>
      <c r="G244" s="141"/>
    </row>
    <row r="245" spans="1:7" s="315" customFormat="1" ht="20.25" customHeight="1">
      <c r="A245" s="342"/>
      <c r="B245" s="343" t="s">
        <v>733</v>
      </c>
      <c r="C245" s="139"/>
      <c r="D245" s="139"/>
      <c r="E245" s="139"/>
      <c r="F245" s="140"/>
      <c r="G245" s="141"/>
    </row>
    <row r="246" spans="1:7" s="315" customFormat="1" ht="20.25" customHeight="1">
      <c r="A246" s="342"/>
      <c r="B246" s="235"/>
      <c r="C246" s="139"/>
      <c r="D246" s="139"/>
      <c r="E246" s="139"/>
      <c r="F246" s="140"/>
      <c r="G246" s="141"/>
    </row>
    <row r="247" spans="1:7" s="315" customFormat="1" ht="20.25" customHeight="1">
      <c r="A247" s="242">
        <v>28</v>
      </c>
      <c r="B247" s="343" t="s">
        <v>478</v>
      </c>
      <c r="C247" s="139"/>
      <c r="D247" s="139" t="s">
        <v>477</v>
      </c>
      <c r="E247" s="139"/>
      <c r="F247" s="140"/>
      <c r="G247" s="141"/>
    </row>
    <row r="248" spans="1:7" s="315" customFormat="1" ht="20.25" customHeight="1">
      <c r="A248" s="342">
        <f>A247+0.01</f>
        <v>28.01</v>
      </c>
      <c r="B248" s="232" t="s">
        <v>693</v>
      </c>
      <c r="C248" s="139" t="e">
        <f>#REF!</f>
        <v>#REF!</v>
      </c>
      <c r="D248" s="139" t="s">
        <v>651</v>
      </c>
      <c r="E248" s="139" t="e">
        <f>'ana A1'!$F$274</f>
        <v>#REF!</v>
      </c>
      <c r="F248" s="140" t="e">
        <f t="shared" ref="F248:F274" si="72">ROUND(C248*E248,2)</f>
        <v>#REF!</v>
      </c>
      <c r="G248" s="141"/>
    </row>
    <row r="249" spans="1:7" s="315" customFormat="1" ht="20.25" customHeight="1">
      <c r="A249" s="342">
        <f t="shared" ref="A249:A273" si="73">A248+0.01</f>
        <v>28.020000000000003</v>
      </c>
      <c r="B249" s="232" t="s">
        <v>694</v>
      </c>
      <c r="C249" s="139" t="e">
        <f>#REF!</f>
        <v>#REF!</v>
      </c>
      <c r="D249" s="139" t="s">
        <v>651</v>
      </c>
      <c r="E249" s="139" t="e">
        <f>'ana A1'!$M$275</f>
        <v>#REF!</v>
      </c>
      <c r="F249" s="140" t="e">
        <f t="shared" si="72"/>
        <v>#REF!</v>
      </c>
      <c r="G249" s="141"/>
    </row>
    <row r="250" spans="1:7" s="315" customFormat="1" ht="20.25" customHeight="1">
      <c r="A250" s="342">
        <f t="shared" si="73"/>
        <v>28.030000000000005</v>
      </c>
      <c r="B250" s="232" t="s">
        <v>695</v>
      </c>
      <c r="C250" s="139" t="e">
        <f>#REF!</f>
        <v>#REF!</v>
      </c>
      <c r="D250" s="139" t="s">
        <v>651</v>
      </c>
      <c r="E250" s="139" t="e">
        <f>'ana A1'!$F$330</f>
        <v>#REF!</v>
      </c>
      <c r="F250" s="140" t="e">
        <f t="shared" si="72"/>
        <v>#REF!</v>
      </c>
      <c r="G250" s="141"/>
    </row>
    <row r="251" spans="1:7" s="315" customFormat="1" ht="20.25" customHeight="1">
      <c r="A251" s="342">
        <f t="shared" si="73"/>
        <v>28.040000000000006</v>
      </c>
      <c r="B251" s="232" t="s">
        <v>696</v>
      </c>
      <c r="C251" s="139" t="e">
        <f>#REF!</f>
        <v>#REF!</v>
      </c>
      <c r="D251" s="139" t="s">
        <v>651</v>
      </c>
      <c r="E251" s="139" t="e">
        <f>'ana A1'!$M$358</f>
        <v>#REF!</v>
      </c>
      <c r="F251" s="140" t="e">
        <f t="shared" si="72"/>
        <v>#REF!</v>
      </c>
      <c r="G251" s="141"/>
    </row>
    <row r="252" spans="1:7" s="315" customFormat="1" ht="20.25" customHeight="1">
      <c r="A252" s="342">
        <f t="shared" si="73"/>
        <v>28.050000000000008</v>
      </c>
      <c r="B252" s="232" t="s">
        <v>731</v>
      </c>
      <c r="C252" s="139" t="e">
        <f>#REF!</f>
        <v>#REF!</v>
      </c>
      <c r="D252" s="139" t="s">
        <v>651</v>
      </c>
      <c r="E252" s="139" t="e">
        <f>'ana A1'!$M$386</f>
        <v>#REF!</v>
      </c>
      <c r="F252" s="140" t="e">
        <f t="shared" si="72"/>
        <v>#REF!</v>
      </c>
      <c r="G252" s="141"/>
    </row>
    <row r="253" spans="1:7" s="315" customFormat="1" ht="28.5" customHeight="1">
      <c r="A253" s="342">
        <f t="shared" si="73"/>
        <v>28.060000000000009</v>
      </c>
      <c r="B253" s="234" t="s">
        <v>950</v>
      </c>
      <c r="C253" s="139" t="e">
        <f>#REF!</f>
        <v>#REF!</v>
      </c>
      <c r="D253" s="139" t="s">
        <v>651</v>
      </c>
      <c r="E253" s="139" t="e">
        <f>'ana A1'!$T$275</f>
        <v>#REF!</v>
      </c>
      <c r="F253" s="140" t="e">
        <f t="shared" si="72"/>
        <v>#REF!</v>
      </c>
      <c r="G253" s="141"/>
    </row>
    <row r="254" spans="1:7" s="315" customFormat="1" ht="20.25" customHeight="1">
      <c r="A254" s="342">
        <f t="shared" si="73"/>
        <v>28.070000000000011</v>
      </c>
      <c r="B254" s="232" t="s">
        <v>722</v>
      </c>
      <c r="C254" s="139" t="e">
        <f>#REF!</f>
        <v>#REF!</v>
      </c>
      <c r="D254" s="139" t="s">
        <v>651</v>
      </c>
      <c r="E254" s="139" t="e">
        <f>'ana A1'!$M$331</f>
        <v>#REF!</v>
      </c>
      <c r="F254" s="140" t="e">
        <f t="shared" si="72"/>
        <v>#REF!</v>
      </c>
      <c r="G254" s="141"/>
    </row>
    <row r="255" spans="1:7" s="315" customFormat="1" ht="20.25" customHeight="1">
      <c r="A255" s="342">
        <f t="shared" si="73"/>
        <v>28.080000000000013</v>
      </c>
      <c r="B255" s="232" t="s">
        <v>698</v>
      </c>
      <c r="C255" s="139" t="e">
        <f>#REF!</f>
        <v>#REF!</v>
      </c>
      <c r="D255" s="139" t="s">
        <v>651</v>
      </c>
      <c r="E255" s="139" t="e">
        <f>'ana A1'!$M$425</f>
        <v>#REF!</v>
      </c>
      <c r="F255" s="140" t="e">
        <f t="shared" si="72"/>
        <v>#REF!</v>
      </c>
      <c r="G255" s="141"/>
    </row>
    <row r="256" spans="1:7" s="315" customFormat="1" ht="20.25" customHeight="1">
      <c r="A256" s="342">
        <f t="shared" si="73"/>
        <v>28.090000000000014</v>
      </c>
      <c r="B256" s="232" t="s">
        <v>699</v>
      </c>
      <c r="C256" s="139" t="e">
        <f>#REF!</f>
        <v>#REF!</v>
      </c>
      <c r="D256" s="139" t="s">
        <v>651</v>
      </c>
      <c r="E256" s="139" t="e">
        <f>'ana A1'!$F$439</f>
        <v>#REF!</v>
      </c>
      <c r="F256" s="140" t="e">
        <f t="shared" si="72"/>
        <v>#REF!</v>
      </c>
      <c r="G256" s="141"/>
    </row>
    <row r="257" spans="1:7" s="315" customFormat="1" ht="20.25" customHeight="1">
      <c r="A257" s="342">
        <f t="shared" si="73"/>
        <v>28.100000000000016</v>
      </c>
      <c r="B257" s="232" t="s">
        <v>700</v>
      </c>
      <c r="C257" s="139" t="e">
        <f>#REF!</f>
        <v>#REF!</v>
      </c>
      <c r="D257" s="139" t="s">
        <v>651</v>
      </c>
      <c r="E257" s="139" t="e">
        <f>'ana A1'!$M$478</f>
        <v>#REF!</v>
      </c>
      <c r="F257" s="140" t="e">
        <f t="shared" si="72"/>
        <v>#REF!</v>
      </c>
      <c r="G257" s="141"/>
    </row>
    <row r="258" spans="1:7" s="315" customFormat="1" ht="20.25" customHeight="1">
      <c r="A258" s="342">
        <f t="shared" si="73"/>
        <v>28.110000000000017</v>
      </c>
      <c r="B258" s="232" t="s">
        <v>701</v>
      </c>
      <c r="C258" s="139" t="e">
        <f>#REF!</f>
        <v>#REF!</v>
      </c>
      <c r="D258" s="139" t="s">
        <v>651</v>
      </c>
      <c r="E258" s="139" t="e">
        <f>'ana A1'!$F$491</f>
        <v>#REF!</v>
      </c>
      <c r="F258" s="140" t="e">
        <f t="shared" si="72"/>
        <v>#REF!</v>
      </c>
      <c r="G258" s="141"/>
    </row>
    <row r="259" spans="1:7" s="315" customFormat="1" ht="20.25" customHeight="1">
      <c r="A259" s="342">
        <f t="shared" si="73"/>
        <v>28.120000000000019</v>
      </c>
      <c r="B259" s="235" t="s">
        <v>702</v>
      </c>
      <c r="C259" s="139" t="e">
        <f>#REF!</f>
        <v>#REF!</v>
      </c>
      <c r="D259" s="139" t="s">
        <v>651</v>
      </c>
      <c r="E259" s="139" t="e">
        <f>'ana A1'!$M$517</f>
        <v>#REF!</v>
      </c>
      <c r="F259" s="140" t="e">
        <f t="shared" si="72"/>
        <v>#REF!</v>
      </c>
      <c r="G259" s="141"/>
    </row>
    <row r="260" spans="1:7" s="315" customFormat="1" ht="20.25" customHeight="1">
      <c r="A260" s="342">
        <f t="shared" si="73"/>
        <v>28.13000000000002</v>
      </c>
      <c r="B260" s="241" t="s">
        <v>703</v>
      </c>
      <c r="C260" s="139" t="e">
        <f>#REF!</f>
        <v>#REF!</v>
      </c>
      <c r="D260" s="139" t="s">
        <v>651</v>
      </c>
      <c r="E260" s="139" t="e">
        <f>'ana A1'!$M$702</f>
        <v>#REF!</v>
      </c>
      <c r="F260" s="140" t="e">
        <f t="shared" si="72"/>
        <v>#REF!</v>
      </c>
      <c r="G260" s="141"/>
    </row>
    <row r="261" spans="1:7" s="315" customFormat="1" ht="20.25" customHeight="1">
      <c r="A261" s="342">
        <f t="shared" si="73"/>
        <v>28.140000000000022</v>
      </c>
      <c r="B261" s="241" t="s">
        <v>704</v>
      </c>
      <c r="C261" s="139" t="e">
        <f>#REF!</f>
        <v>#REF!</v>
      </c>
      <c r="D261" s="139" t="s">
        <v>651</v>
      </c>
      <c r="E261" s="139" t="e">
        <f>'ana A1'!$F$728</f>
        <v>#REF!</v>
      </c>
      <c r="F261" s="140" t="e">
        <f t="shared" si="72"/>
        <v>#REF!</v>
      </c>
      <c r="G261" s="141"/>
    </row>
    <row r="262" spans="1:7" s="315" customFormat="1" ht="34.5" customHeight="1">
      <c r="A262" s="342">
        <f t="shared" si="73"/>
        <v>28.150000000000023</v>
      </c>
      <c r="B262" s="234" t="s">
        <v>705</v>
      </c>
      <c r="C262" s="139" t="e">
        <f>#REF!</f>
        <v>#REF!</v>
      </c>
      <c r="D262" s="139" t="s">
        <v>651</v>
      </c>
      <c r="E262" s="139" t="e">
        <f>'ana A1'!$F$543</f>
        <v>#REF!</v>
      </c>
      <c r="F262" s="140" t="e">
        <f t="shared" si="72"/>
        <v>#REF!</v>
      </c>
      <c r="G262" s="141"/>
    </row>
    <row r="263" spans="1:7" s="315" customFormat="1" ht="34.5" customHeight="1">
      <c r="A263" s="342">
        <f t="shared" si="73"/>
        <v>28.160000000000025</v>
      </c>
      <c r="B263" s="234" t="s">
        <v>706</v>
      </c>
      <c r="C263" s="139" t="e">
        <f>#REF!</f>
        <v>#REF!</v>
      </c>
      <c r="D263" s="139" t="s">
        <v>651</v>
      </c>
      <c r="E263" s="139" t="e">
        <f>'ana A1'!$M$556</f>
        <v>#REF!</v>
      </c>
      <c r="F263" s="140" t="e">
        <f t="shared" si="72"/>
        <v>#REF!</v>
      </c>
      <c r="G263" s="141"/>
    </row>
    <row r="264" spans="1:7" s="315" customFormat="1" ht="20.25" customHeight="1">
      <c r="A264" s="342">
        <f t="shared" si="73"/>
        <v>28.170000000000027</v>
      </c>
      <c r="B264" s="232" t="s">
        <v>652</v>
      </c>
      <c r="C264" s="139" t="e">
        <f>#REF!</f>
        <v>#REF!</v>
      </c>
      <c r="D264" s="139" t="s">
        <v>651</v>
      </c>
      <c r="E264" s="139" t="e">
        <f>'ana A1'!$M$609</f>
        <v>#REF!</v>
      </c>
      <c r="F264" s="140" t="e">
        <f t="shared" si="72"/>
        <v>#REF!</v>
      </c>
      <c r="G264" s="141"/>
    </row>
    <row r="265" spans="1:7" s="315" customFormat="1" ht="20.25" customHeight="1">
      <c r="A265" s="342">
        <f t="shared" si="73"/>
        <v>28.180000000000028</v>
      </c>
      <c r="B265" s="232" t="s">
        <v>708</v>
      </c>
      <c r="C265" s="139" t="e">
        <f>#REF!</f>
        <v>#REF!</v>
      </c>
      <c r="D265" s="139" t="s">
        <v>651</v>
      </c>
      <c r="E265" s="139" t="e">
        <f>'ana A1'!$F$596</f>
        <v>#REF!</v>
      </c>
      <c r="F265" s="140" t="e">
        <f t="shared" si="72"/>
        <v>#REF!</v>
      </c>
      <c r="G265" s="141"/>
    </row>
    <row r="266" spans="1:7" s="315" customFormat="1" ht="20.25" customHeight="1">
      <c r="A266" s="342">
        <f t="shared" si="73"/>
        <v>28.19000000000003</v>
      </c>
      <c r="B266" s="232" t="s">
        <v>653</v>
      </c>
      <c r="C266" s="139" t="e">
        <f>#REF!</f>
        <v>#REF!</v>
      </c>
      <c r="D266" s="139" t="s">
        <v>651</v>
      </c>
      <c r="E266" s="139" t="e">
        <f>'ana A1'!$M$663</f>
        <v>#REF!</v>
      </c>
      <c r="F266" s="140" t="e">
        <f t="shared" si="72"/>
        <v>#REF!</v>
      </c>
      <c r="G266" s="141"/>
    </row>
    <row r="267" spans="1:7" s="315" customFormat="1" ht="20.25" customHeight="1">
      <c r="A267" s="342">
        <f t="shared" si="73"/>
        <v>28.200000000000031</v>
      </c>
      <c r="B267" s="232" t="s">
        <v>707</v>
      </c>
      <c r="C267" s="139" t="e">
        <f>#REF!</f>
        <v>#REF!</v>
      </c>
      <c r="D267" s="139" t="s">
        <v>651</v>
      </c>
      <c r="E267" s="139" t="e">
        <f>'ana A1'!$F$650</f>
        <v>#REF!</v>
      </c>
      <c r="F267" s="140" t="e">
        <f t="shared" si="72"/>
        <v>#REF!</v>
      </c>
      <c r="G267" s="141"/>
    </row>
    <row r="268" spans="1:7" s="315" customFormat="1" ht="21.75" customHeight="1">
      <c r="A268" s="342">
        <f t="shared" si="73"/>
        <v>28.210000000000033</v>
      </c>
      <c r="B268" s="234" t="s">
        <v>676</v>
      </c>
      <c r="C268" s="139" t="e">
        <f>#REF!</f>
        <v>#REF!</v>
      </c>
      <c r="D268" s="139" t="s">
        <v>651</v>
      </c>
      <c r="E268" s="139" t="e">
        <f>'ana A1'!$G$1087</f>
        <v>#REF!</v>
      </c>
      <c r="F268" s="140" t="e">
        <f t="shared" si="72"/>
        <v>#REF!</v>
      </c>
      <c r="G268" s="141"/>
    </row>
    <row r="269" spans="1:7" s="315" customFormat="1" ht="20.25" customHeight="1">
      <c r="A269" s="342">
        <f t="shared" si="73"/>
        <v>28.220000000000034</v>
      </c>
      <c r="B269" s="234" t="s">
        <v>710</v>
      </c>
      <c r="C269" s="139" t="e">
        <f>#REF!</f>
        <v>#REF!</v>
      </c>
      <c r="D269" s="139" t="s">
        <v>651</v>
      </c>
      <c r="E269" s="139" t="e">
        <f>'ana A1'!$F$702</f>
        <v>#REF!</v>
      </c>
      <c r="F269" s="140" t="e">
        <f t="shared" si="72"/>
        <v>#REF!</v>
      </c>
      <c r="G269" s="141"/>
    </row>
    <row r="270" spans="1:7" s="315" customFormat="1" ht="20.25" customHeight="1">
      <c r="A270" s="342">
        <f t="shared" si="73"/>
        <v>28.230000000000036</v>
      </c>
      <c r="B270" s="234" t="s">
        <v>711</v>
      </c>
      <c r="C270" s="139" t="e">
        <f>#REF!</f>
        <v>#REF!</v>
      </c>
      <c r="D270" s="139" t="s">
        <v>651</v>
      </c>
      <c r="E270" s="139" t="e">
        <f>'ana A1'!$M$836</f>
        <v>#REF!</v>
      </c>
      <c r="F270" s="140" t="e">
        <f t="shared" si="72"/>
        <v>#REF!</v>
      </c>
      <c r="G270" s="141"/>
    </row>
    <row r="271" spans="1:7" s="315" customFormat="1" ht="20.25" customHeight="1">
      <c r="A271" s="342">
        <f t="shared" si="73"/>
        <v>28.240000000000038</v>
      </c>
      <c r="B271" s="234" t="s">
        <v>712</v>
      </c>
      <c r="C271" s="139" t="e">
        <f>#REF!</f>
        <v>#REF!</v>
      </c>
      <c r="D271" s="139" t="s">
        <v>651</v>
      </c>
      <c r="E271" s="139" t="e">
        <f>'ana A1'!$F$936</f>
        <v>#REF!</v>
      </c>
      <c r="F271" s="140" t="e">
        <f t="shared" si="72"/>
        <v>#REF!</v>
      </c>
      <c r="G271" s="141"/>
    </row>
    <row r="272" spans="1:7" s="315" customFormat="1" ht="30.75" customHeight="1">
      <c r="A272" s="342">
        <f t="shared" si="73"/>
        <v>28.250000000000039</v>
      </c>
      <c r="B272" s="234" t="s">
        <v>723</v>
      </c>
      <c r="C272" s="139">
        <v>18.98</v>
      </c>
      <c r="D272" s="139" t="s">
        <v>39</v>
      </c>
      <c r="E272" s="139" t="e">
        <f>'ana A1'!$N$917</f>
        <v>#REF!</v>
      </c>
      <c r="F272" s="140" t="e">
        <f t="shared" si="72"/>
        <v>#REF!</v>
      </c>
      <c r="G272" s="141"/>
    </row>
    <row r="273" spans="1:7" s="315" customFormat="1" ht="30.75" customHeight="1">
      <c r="A273" s="342">
        <f t="shared" si="73"/>
        <v>28.260000000000041</v>
      </c>
      <c r="B273" s="234" t="s">
        <v>934</v>
      </c>
      <c r="C273" s="139" t="e">
        <f>#REF!</f>
        <v>#REF!</v>
      </c>
      <c r="D273" s="240" t="s">
        <v>479</v>
      </c>
      <c r="E273" s="240" t="e">
        <f>'ana A1'!$F$862</f>
        <v>#REF!</v>
      </c>
      <c r="F273" s="140" t="e">
        <f t="shared" si="72"/>
        <v>#REF!</v>
      </c>
      <c r="G273" s="141"/>
    </row>
    <row r="274" spans="1:7" s="315" customFormat="1" ht="24.75" customHeight="1">
      <c r="A274" s="342">
        <f>A272+0.01</f>
        <v>28.260000000000041</v>
      </c>
      <c r="B274" s="234" t="s">
        <v>758</v>
      </c>
      <c r="C274" s="139" t="e">
        <f>#REF!</f>
        <v>#REF!</v>
      </c>
      <c r="D274" s="139" t="s">
        <v>658</v>
      </c>
      <c r="E274" s="240" t="e">
        <f>'ana A1'!$F$775</f>
        <v>#REF!</v>
      </c>
      <c r="F274" s="140" t="e">
        <f t="shared" si="72"/>
        <v>#REF!</v>
      </c>
      <c r="G274" s="141" t="e">
        <f>SUM(F248:F274)</f>
        <v>#REF!</v>
      </c>
    </row>
    <row r="275" spans="1:7" s="315" customFormat="1" ht="20.25" customHeight="1">
      <c r="A275" s="242">
        <v>29</v>
      </c>
      <c r="B275" s="343" t="s">
        <v>654</v>
      </c>
      <c r="C275" s="139"/>
      <c r="D275" s="139"/>
      <c r="E275" s="139"/>
      <c r="F275" s="140"/>
      <c r="G275" s="141"/>
    </row>
    <row r="276" spans="1:7" s="315" customFormat="1" ht="23.25" customHeight="1">
      <c r="A276" s="342">
        <f>A275+0.01</f>
        <v>29.01</v>
      </c>
      <c r="B276" s="241" t="s">
        <v>894</v>
      </c>
      <c r="C276" s="139" t="e">
        <f>#REF!</f>
        <v>#REF!</v>
      </c>
      <c r="D276" s="139" t="s">
        <v>438</v>
      </c>
      <c r="E276" s="139" t="e">
        <f>#REF!</f>
        <v>#REF!</v>
      </c>
      <c r="F276" s="140" t="e">
        <f t="shared" ref="F276:F281" si="74">ROUND(C276*E276,2)</f>
        <v>#REF!</v>
      </c>
      <c r="G276" s="141"/>
    </row>
    <row r="277" spans="1:7" s="315" customFormat="1" ht="23.25" customHeight="1">
      <c r="A277" s="342">
        <f t="shared" ref="A277:A281" si="75">A276+0.01</f>
        <v>29.020000000000003</v>
      </c>
      <c r="B277" s="241" t="s">
        <v>897</v>
      </c>
      <c r="C277" s="139" t="e">
        <f>#REF!</f>
        <v>#REF!</v>
      </c>
      <c r="D277" s="139" t="s">
        <v>438</v>
      </c>
      <c r="E277" s="139" t="e">
        <f>#REF!</f>
        <v>#REF!</v>
      </c>
      <c r="F277" s="140" t="e">
        <f t="shared" si="74"/>
        <v>#REF!</v>
      </c>
      <c r="G277" s="141"/>
    </row>
    <row r="278" spans="1:7" s="315" customFormat="1" ht="23.25" customHeight="1">
      <c r="A278" s="342">
        <f t="shared" si="75"/>
        <v>29.030000000000005</v>
      </c>
      <c r="B278" s="234" t="s">
        <v>895</v>
      </c>
      <c r="C278" s="139" t="e">
        <f>#REF!</f>
        <v>#REF!</v>
      </c>
      <c r="D278" s="139" t="s">
        <v>438</v>
      </c>
      <c r="E278" s="139" t="e">
        <f>#REF!</f>
        <v>#REF!</v>
      </c>
      <c r="F278" s="140" t="e">
        <f t="shared" si="74"/>
        <v>#REF!</v>
      </c>
      <c r="G278" s="141"/>
    </row>
    <row r="279" spans="1:7" s="315" customFormat="1" ht="23.25" customHeight="1">
      <c r="A279" s="342">
        <f t="shared" si="75"/>
        <v>29.040000000000006</v>
      </c>
      <c r="B279" s="234" t="s">
        <v>896</v>
      </c>
      <c r="C279" s="139" t="e">
        <f>#REF!</f>
        <v>#REF!</v>
      </c>
      <c r="D279" s="139" t="s">
        <v>438</v>
      </c>
      <c r="E279" s="139" t="e">
        <f>#REF!</f>
        <v>#REF!</v>
      </c>
      <c r="F279" s="140" t="e">
        <f t="shared" si="74"/>
        <v>#REF!</v>
      </c>
      <c r="G279" s="141"/>
    </row>
    <row r="280" spans="1:7" s="315" customFormat="1" ht="21" customHeight="1">
      <c r="A280" s="342">
        <f t="shared" si="75"/>
        <v>29.050000000000008</v>
      </c>
      <c r="B280" s="241" t="s">
        <v>735</v>
      </c>
      <c r="C280" s="139" t="e">
        <f>#REF!</f>
        <v>#REF!</v>
      </c>
      <c r="D280" s="139" t="s">
        <v>438</v>
      </c>
      <c r="E280" s="139" t="e">
        <f>#REF!</f>
        <v>#REF!</v>
      </c>
      <c r="F280" s="140" t="e">
        <f t="shared" si="74"/>
        <v>#REF!</v>
      </c>
      <c r="G280" s="141"/>
    </row>
    <row r="281" spans="1:7" s="315" customFormat="1" ht="20.25" customHeight="1">
      <c r="A281" s="342">
        <f t="shared" si="75"/>
        <v>29.060000000000009</v>
      </c>
      <c r="B281" s="234" t="s">
        <v>732</v>
      </c>
      <c r="C281" s="139" t="e">
        <f>#REF!</f>
        <v>#REF!</v>
      </c>
      <c r="D281" s="139" t="s">
        <v>438</v>
      </c>
      <c r="E281" s="139" t="e">
        <f>$E$179</f>
        <v>#REF!</v>
      </c>
      <c r="F281" s="140" t="e">
        <f t="shared" si="74"/>
        <v>#REF!</v>
      </c>
      <c r="G281" s="141" t="e">
        <f>SUM(F276:F281)</f>
        <v>#REF!</v>
      </c>
    </row>
    <row r="282" spans="1:7" s="315" customFormat="1" ht="20.25" customHeight="1">
      <c r="A282" s="242">
        <v>30</v>
      </c>
      <c r="B282" s="343" t="s">
        <v>480</v>
      </c>
      <c r="C282" s="139"/>
      <c r="D282" s="139"/>
      <c r="E282" s="139"/>
      <c r="F282" s="140"/>
      <c r="G282" s="141"/>
    </row>
    <row r="283" spans="1:7" s="315" customFormat="1" ht="20.25" customHeight="1">
      <c r="A283" s="342">
        <f>A282+0.01</f>
        <v>30.01</v>
      </c>
      <c r="B283" s="235" t="s">
        <v>223</v>
      </c>
      <c r="C283" s="139" t="e">
        <f>#REF!</f>
        <v>#REF!</v>
      </c>
      <c r="D283" s="139" t="s">
        <v>438</v>
      </c>
      <c r="E283" s="139">
        <f>'ana A1'!$F$55</f>
        <v>125.82370457166</v>
      </c>
      <c r="F283" s="140" t="e">
        <f t="shared" ref="F283:F289" si="76">ROUND(C283*E283,2)</f>
        <v>#REF!</v>
      </c>
      <c r="G283" s="141"/>
    </row>
    <row r="284" spans="1:7" s="315" customFormat="1" ht="20.25" customHeight="1">
      <c r="A284" s="342">
        <f t="shared" ref="A284:A289" si="77">A283+0.01</f>
        <v>30.020000000000003</v>
      </c>
      <c r="B284" s="235" t="s">
        <v>655</v>
      </c>
      <c r="C284" s="139" t="e">
        <f>#REF!</f>
        <v>#REF!</v>
      </c>
      <c r="D284" s="139" t="s">
        <v>438</v>
      </c>
      <c r="E284" s="139" t="e">
        <f>#REF!</f>
        <v>#REF!</v>
      </c>
      <c r="F284" s="140" t="e">
        <f t="shared" si="76"/>
        <v>#REF!</v>
      </c>
      <c r="G284" s="141"/>
    </row>
    <row r="285" spans="1:7" s="315" customFormat="1" ht="20.25" customHeight="1">
      <c r="A285" s="342">
        <f t="shared" si="77"/>
        <v>30.030000000000005</v>
      </c>
      <c r="B285" s="235" t="s">
        <v>681</v>
      </c>
      <c r="C285" s="139" t="e">
        <f>#REF!</f>
        <v>#REF!</v>
      </c>
      <c r="D285" s="139" t="s">
        <v>438</v>
      </c>
      <c r="E285" s="139" t="e">
        <f>#REF!</f>
        <v>#REF!</v>
      </c>
      <c r="F285" s="140" t="e">
        <f t="shared" si="76"/>
        <v>#REF!</v>
      </c>
      <c r="G285" s="141"/>
    </row>
    <row r="286" spans="1:7" s="315" customFormat="1" ht="20.25" customHeight="1">
      <c r="A286" s="342">
        <f t="shared" si="77"/>
        <v>30.040000000000006</v>
      </c>
      <c r="B286" s="235" t="s">
        <v>657</v>
      </c>
      <c r="C286" s="139" t="e">
        <f>#REF!</f>
        <v>#REF!</v>
      </c>
      <c r="D286" s="139" t="s">
        <v>438</v>
      </c>
      <c r="E286" s="139" t="e">
        <f>#REF!</f>
        <v>#REF!</v>
      </c>
      <c r="F286" s="140" t="e">
        <f t="shared" si="76"/>
        <v>#REF!</v>
      </c>
      <c r="G286" s="141"/>
    </row>
    <row r="287" spans="1:7" s="315" customFormat="1" ht="20.25" customHeight="1">
      <c r="A287" s="342">
        <f t="shared" si="77"/>
        <v>30.050000000000008</v>
      </c>
      <c r="B287" s="232" t="s">
        <v>674</v>
      </c>
      <c r="C287" s="139" t="e">
        <f>#REF!</f>
        <v>#REF!</v>
      </c>
      <c r="D287" s="139" t="s">
        <v>658</v>
      </c>
      <c r="E287" s="139" t="e">
        <f>#REF!</f>
        <v>#REF!</v>
      </c>
      <c r="F287" s="140" t="e">
        <f t="shared" si="76"/>
        <v>#REF!</v>
      </c>
      <c r="G287" s="141"/>
    </row>
    <row r="288" spans="1:7" s="315" customFormat="1" ht="20.25" customHeight="1">
      <c r="A288" s="342">
        <f t="shared" si="77"/>
        <v>30.060000000000009</v>
      </c>
      <c r="B288" s="235" t="s">
        <v>682</v>
      </c>
      <c r="C288" s="139" t="e">
        <f>#REF!</f>
        <v>#REF!</v>
      </c>
      <c r="D288" s="139" t="s">
        <v>658</v>
      </c>
      <c r="E288" s="139" t="e">
        <f>#REF!</f>
        <v>#REF!</v>
      </c>
      <c r="F288" s="140" t="e">
        <f t="shared" si="76"/>
        <v>#REF!</v>
      </c>
    </row>
    <row r="289" spans="1:7" s="315" customFormat="1" ht="20.25" customHeight="1">
      <c r="A289" s="342">
        <f t="shared" si="77"/>
        <v>30.070000000000011</v>
      </c>
      <c r="B289" s="235" t="s">
        <v>933</v>
      </c>
      <c r="C289" s="139" t="e">
        <f>#REF!</f>
        <v>#REF!</v>
      </c>
      <c r="D289" s="139" t="s">
        <v>658</v>
      </c>
      <c r="E289" s="139">
        <f>$E$187</f>
        <v>136.75</v>
      </c>
      <c r="F289" s="140" t="e">
        <f t="shared" si="76"/>
        <v>#REF!</v>
      </c>
      <c r="G289" s="141" t="e">
        <f>SUM(F283:F289)</f>
        <v>#REF!</v>
      </c>
    </row>
    <row r="290" spans="1:7" s="315" customFormat="1" ht="20.25" customHeight="1">
      <c r="A290" s="242">
        <v>31</v>
      </c>
      <c r="B290" s="343" t="s">
        <v>659</v>
      </c>
      <c r="C290" s="139"/>
      <c r="D290" s="139"/>
      <c r="E290" s="139"/>
      <c r="F290" s="140"/>
      <c r="G290" s="141"/>
    </row>
    <row r="291" spans="1:7" s="315" customFormat="1" ht="20.25" customHeight="1">
      <c r="A291" s="342">
        <f t="shared" ref="A291:A295" si="78">A290+0.01</f>
        <v>31.01</v>
      </c>
      <c r="B291" s="234" t="s">
        <v>918</v>
      </c>
      <c r="C291" s="139" t="e">
        <f>#REF!</f>
        <v>#REF!</v>
      </c>
      <c r="D291" s="139" t="s">
        <v>438</v>
      </c>
      <c r="E291" s="139">
        <v>1854.48</v>
      </c>
      <c r="F291" s="140" t="e">
        <f t="shared" ref="F291:F295" si="79">ROUND(C291*E291,2)</f>
        <v>#REF!</v>
      </c>
      <c r="G291" s="141"/>
    </row>
    <row r="292" spans="1:7" s="315" customFormat="1" ht="20.25" customHeight="1">
      <c r="A292" s="342">
        <f t="shared" si="78"/>
        <v>31.020000000000003</v>
      </c>
      <c r="B292" s="234" t="s">
        <v>796</v>
      </c>
      <c r="C292" s="139" t="e">
        <f>#REF!</f>
        <v>#REF!</v>
      </c>
      <c r="D292" s="139" t="s">
        <v>438</v>
      </c>
      <c r="E292" s="139">
        <v>1470.93</v>
      </c>
      <c r="F292" s="140" t="e">
        <f t="shared" si="79"/>
        <v>#REF!</v>
      </c>
      <c r="G292" s="141"/>
    </row>
    <row r="293" spans="1:7" s="315" customFormat="1" ht="20.25" customHeight="1">
      <c r="A293" s="342">
        <f t="shared" si="78"/>
        <v>31.030000000000005</v>
      </c>
      <c r="B293" s="235" t="s">
        <v>919</v>
      </c>
      <c r="C293" s="139" t="e">
        <f>#REF!</f>
        <v>#REF!</v>
      </c>
      <c r="D293" s="139" t="s">
        <v>479</v>
      </c>
      <c r="E293" s="139">
        <v>240.02</v>
      </c>
      <c r="F293" s="140" t="e">
        <f t="shared" si="79"/>
        <v>#REF!</v>
      </c>
      <c r="G293" s="141"/>
    </row>
    <row r="294" spans="1:7" s="315" customFormat="1" ht="20.25" customHeight="1">
      <c r="A294" s="342">
        <f t="shared" si="78"/>
        <v>31.040000000000006</v>
      </c>
      <c r="B294" s="235" t="s">
        <v>798</v>
      </c>
      <c r="C294" s="139" t="e">
        <f>#REF!</f>
        <v>#REF!</v>
      </c>
      <c r="D294" s="139" t="s">
        <v>479</v>
      </c>
      <c r="E294" s="139" t="e">
        <f>#REF!</f>
        <v>#REF!</v>
      </c>
      <c r="F294" s="140" t="e">
        <f t="shared" si="79"/>
        <v>#REF!</v>
      </c>
      <c r="G294" s="141"/>
    </row>
    <row r="295" spans="1:7" s="315" customFormat="1" ht="20.25" customHeight="1">
      <c r="A295" s="342">
        <f t="shared" si="78"/>
        <v>31.050000000000008</v>
      </c>
      <c r="B295" s="235" t="s">
        <v>952</v>
      </c>
      <c r="C295" s="139" t="e">
        <f>#REF!</f>
        <v>#REF!</v>
      </c>
      <c r="D295" s="139" t="s">
        <v>479</v>
      </c>
      <c r="E295" s="139" t="e">
        <f>#REF!</f>
        <v>#REF!</v>
      </c>
      <c r="F295" s="140" t="e">
        <f t="shared" si="79"/>
        <v>#REF!</v>
      </c>
      <c r="G295" s="141" t="e">
        <f>SUM(F291:F295)</f>
        <v>#REF!</v>
      </c>
    </row>
    <row r="296" spans="1:7" s="315" customFormat="1" ht="20.25" customHeight="1">
      <c r="A296" s="242">
        <v>32</v>
      </c>
      <c r="B296" s="343" t="s">
        <v>660</v>
      </c>
      <c r="C296" s="139"/>
      <c r="D296" s="139"/>
      <c r="E296" s="139"/>
      <c r="F296" s="140"/>
      <c r="G296" s="141"/>
    </row>
    <row r="297" spans="1:7" s="315" customFormat="1" ht="20.25" customHeight="1">
      <c r="A297" s="342">
        <f t="shared" ref="A297" si="80">A296+0.01</f>
        <v>32.01</v>
      </c>
      <c r="B297" s="232" t="s">
        <v>775</v>
      </c>
      <c r="C297" s="139" t="e">
        <f>#REF!</f>
        <v>#REF!</v>
      </c>
      <c r="D297" s="139" t="s">
        <v>438</v>
      </c>
      <c r="E297" s="139" t="e">
        <f>#REF!</f>
        <v>#REF!</v>
      </c>
      <c r="F297" s="140" t="e">
        <f>ROUND(C297*E297,2)</f>
        <v>#REF!</v>
      </c>
      <c r="G297" s="141" t="e">
        <f>SUM(F297)</f>
        <v>#REF!</v>
      </c>
    </row>
    <row r="298" spans="1:7" s="315" customFormat="1" ht="20.25" customHeight="1">
      <c r="A298" s="231">
        <v>33</v>
      </c>
      <c r="B298" s="230" t="s">
        <v>677</v>
      </c>
      <c r="C298" s="139"/>
      <c r="D298" s="139"/>
      <c r="E298" s="139"/>
      <c r="F298" s="140"/>
      <c r="G298" s="141"/>
    </row>
    <row r="299" spans="1:7" s="315" customFormat="1" ht="20.25" customHeight="1">
      <c r="A299" s="229">
        <f t="shared" ref="A299:A301" si="81">A298+0.01</f>
        <v>33.01</v>
      </c>
      <c r="B299" s="232" t="s">
        <v>21</v>
      </c>
      <c r="C299" s="139" t="e">
        <f>#REF!</f>
        <v>#REF!</v>
      </c>
      <c r="D299" s="139" t="s">
        <v>658</v>
      </c>
      <c r="E299" s="139" t="e">
        <f>#REF!</f>
        <v>#REF!</v>
      </c>
      <c r="F299" s="140" t="e">
        <f t="shared" ref="F299:F301" si="82">ROUND(C299*E299,2)</f>
        <v>#REF!</v>
      </c>
      <c r="G299" s="141"/>
    </row>
    <row r="300" spans="1:7" s="315" customFormat="1" ht="20.25" customHeight="1">
      <c r="A300" s="229">
        <f t="shared" si="81"/>
        <v>33.019999999999996</v>
      </c>
      <c r="B300" s="232" t="s">
        <v>678</v>
      </c>
      <c r="C300" s="139" t="e">
        <f>#REF!</f>
        <v>#REF!</v>
      </c>
      <c r="D300" s="139" t="s">
        <v>438</v>
      </c>
      <c r="E300" s="139">
        <f>$E$291</f>
        <v>1854.48</v>
      </c>
      <c r="F300" s="140" t="e">
        <f t="shared" si="82"/>
        <v>#REF!</v>
      </c>
      <c r="G300" s="141"/>
    </row>
    <row r="301" spans="1:7" s="315" customFormat="1" ht="20.25" customHeight="1">
      <c r="A301" s="229">
        <f t="shared" si="81"/>
        <v>33.029999999999994</v>
      </c>
      <c r="B301" s="232" t="s">
        <v>762</v>
      </c>
      <c r="C301" s="139" t="e">
        <f>#REF!</f>
        <v>#REF!</v>
      </c>
      <c r="D301" s="139" t="s">
        <v>679</v>
      </c>
      <c r="E301" s="139" t="e">
        <f>#REF!</f>
        <v>#REF!</v>
      </c>
      <c r="F301" s="140" t="e">
        <f t="shared" si="82"/>
        <v>#REF!</v>
      </c>
      <c r="G301" s="141" t="e">
        <f>SUM(F299:F301)</f>
        <v>#REF!</v>
      </c>
    </row>
    <row r="302" spans="1:7" s="315" customFormat="1" ht="20.25" customHeight="1">
      <c r="A302" s="242">
        <v>34</v>
      </c>
      <c r="B302" s="343" t="s">
        <v>683</v>
      </c>
      <c r="C302" s="139"/>
      <c r="D302" s="139"/>
      <c r="E302" s="139"/>
      <c r="F302" s="140"/>
      <c r="G302" s="141"/>
    </row>
    <row r="303" spans="1:7" s="315" customFormat="1" ht="34.5" customHeight="1">
      <c r="A303" s="342">
        <f t="shared" ref="A303:A315" si="83">A302+0.01</f>
        <v>34.01</v>
      </c>
      <c r="B303" s="398" t="s">
        <v>968</v>
      </c>
      <c r="C303" s="399">
        <f>1*1.1*16</f>
        <v>17.600000000000001</v>
      </c>
      <c r="D303" s="400" t="s">
        <v>438</v>
      </c>
      <c r="E303" s="139">
        <v>8814.1</v>
      </c>
      <c r="F303" s="140">
        <f>ROUND(C303*E303,2)</f>
        <v>155128.16</v>
      </c>
      <c r="G303" s="141"/>
    </row>
    <row r="304" spans="1:7" s="315" customFormat="1" ht="35.25" customHeight="1">
      <c r="A304" s="342">
        <f t="shared" si="83"/>
        <v>34.019999999999996</v>
      </c>
      <c r="B304" s="398" t="s">
        <v>969</v>
      </c>
      <c r="C304" s="399">
        <f>1*0.6*16</f>
        <v>9.6</v>
      </c>
      <c r="D304" s="400" t="s">
        <v>438</v>
      </c>
      <c r="E304" s="139">
        <v>8814.1</v>
      </c>
      <c r="F304" s="140">
        <f t="shared" ref="F304:F315" si="84">ROUND(C304*E304,2)</f>
        <v>84615.360000000001</v>
      </c>
      <c r="G304" s="141"/>
    </row>
    <row r="305" spans="1:7" s="315" customFormat="1" ht="33.75" customHeight="1">
      <c r="A305" s="342">
        <f t="shared" si="83"/>
        <v>34.029999999999994</v>
      </c>
      <c r="B305" s="398" t="s">
        <v>969</v>
      </c>
      <c r="C305" s="399">
        <f>1*0.6*16</f>
        <v>9.6</v>
      </c>
      <c r="D305" s="400" t="s">
        <v>438</v>
      </c>
      <c r="E305" s="139">
        <v>8814.1</v>
      </c>
      <c r="F305" s="140">
        <f t="shared" si="84"/>
        <v>84615.360000000001</v>
      </c>
      <c r="G305" s="141"/>
    </row>
    <row r="306" spans="1:7" s="315" customFormat="1" ht="32.25" customHeight="1">
      <c r="A306" s="342">
        <f t="shared" si="83"/>
        <v>34.039999999999992</v>
      </c>
      <c r="B306" s="398" t="s">
        <v>973</v>
      </c>
      <c r="C306" s="399">
        <f>1.2*0.6*4</f>
        <v>2.88</v>
      </c>
      <c r="D306" s="400" t="s">
        <v>438</v>
      </c>
      <c r="E306" s="139">
        <v>8814.1</v>
      </c>
      <c r="F306" s="140">
        <f t="shared" si="84"/>
        <v>25384.61</v>
      </c>
      <c r="G306" s="141"/>
    </row>
    <row r="307" spans="1:7" s="315" customFormat="1" ht="34.5" customHeight="1">
      <c r="A307" s="342">
        <f t="shared" si="83"/>
        <v>34.04999999999999</v>
      </c>
      <c r="B307" s="398" t="s">
        <v>972</v>
      </c>
      <c r="C307" s="399">
        <f>2.4*0.6*4</f>
        <v>5.76</v>
      </c>
      <c r="D307" s="400" t="s">
        <v>438</v>
      </c>
      <c r="E307" s="139">
        <v>8814.1</v>
      </c>
      <c r="F307" s="140">
        <f t="shared" si="84"/>
        <v>50769.22</v>
      </c>
      <c r="G307" s="141"/>
    </row>
    <row r="308" spans="1:7" s="315" customFormat="1" ht="34.5" customHeight="1">
      <c r="A308" s="342">
        <f t="shared" si="83"/>
        <v>34.059999999999988</v>
      </c>
      <c r="B308" s="398" t="s">
        <v>971</v>
      </c>
      <c r="C308" s="399">
        <f>1.1*1.88*8</f>
        <v>16.544</v>
      </c>
      <c r="D308" s="400" t="s">
        <v>438</v>
      </c>
      <c r="E308" s="139">
        <v>8814.1</v>
      </c>
      <c r="F308" s="140">
        <f t="shared" si="84"/>
        <v>145820.47</v>
      </c>
      <c r="G308" s="141"/>
    </row>
    <row r="309" spans="1:7" s="315" customFormat="1" ht="34.5" customHeight="1">
      <c r="A309" s="342">
        <f t="shared" si="83"/>
        <v>34.069999999999986</v>
      </c>
      <c r="B309" s="398" t="s">
        <v>970</v>
      </c>
      <c r="C309" s="399">
        <f>1.2*1.1</f>
        <v>1.32</v>
      </c>
      <c r="D309" s="400" t="s">
        <v>438</v>
      </c>
      <c r="E309" s="139">
        <v>8814.1</v>
      </c>
      <c r="F309" s="140">
        <f t="shared" si="84"/>
        <v>11634.61</v>
      </c>
      <c r="G309" s="141"/>
    </row>
    <row r="310" spans="1:7" s="315" customFormat="1" ht="32.25" customHeight="1">
      <c r="A310" s="342">
        <f t="shared" si="83"/>
        <v>34.079999999999984</v>
      </c>
      <c r="B310" s="398" t="s">
        <v>954</v>
      </c>
      <c r="C310" s="399">
        <f>16*1*2.1+0.4*1.1*2*16</f>
        <v>47.680000000000007</v>
      </c>
      <c r="D310" s="400" t="s">
        <v>438</v>
      </c>
      <c r="E310" s="139">
        <v>9000</v>
      </c>
      <c r="F310" s="140">
        <f t="shared" si="84"/>
        <v>429120</v>
      </c>
      <c r="G310" s="141"/>
    </row>
    <row r="311" spans="1:7" s="315" customFormat="1" ht="34.5" customHeight="1">
      <c r="A311" s="342">
        <f t="shared" si="83"/>
        <v>34.089999999999982</v>
      </c>
      <c r="B311" s="398" t="s">
        <v>959</v>
      </c>
      <c r="C311" s="399">
        <f>1*2*2.1</f>
        <v>4.2</v>
      </c>
      <c r="D311" s="400" t="s">
        <v>438</v>
      </c>
      <c r="E311" s="139">
        <v>9000</v>
      </c>
      <c r="F311" s="140">
        <f t="shared" si="84"/>
        <v>37800</v>
      </c>
      <c r="G311" s="141"/>
    </row>
    <row r="312" spans="1:7" s="315" customFormat="1" ht="36.75" customHeight="1">
      <c r="A312" s="342">
        <f t="shared" si="83"/>
        <v>34.09999999999998</v>
      </c>
      <c r="B312" s="398" t="s">
        <v>960</v>
      </c>
      <c r="C312" s="399">
        <f>2*2*2.1+0.75*2*2.1*2</f>
        <v>14.700000000000001</v>
      </c>
      <c r="D312" s="400" t="s">
        <v>438</v>
      </c>
      <c r="E312" s="139">
        <v>9000</v>
      </c>
      <c r="F312" s="140">
        <f t="shared" si="84"/>
        <v>132300</v>
      </c>
      <c r="G312" s="141"/>
    </row>
    <row r="313" spans="1:7" s="315" customFormat="1" ht="48.75" customHeight="1">
      <c r="A313" s="342">
        <f t="shared" si="83"/>
        <v>34.109999999999978</v>
      </c>
      <c r="B313" s="398" t="s">
        <v>967</v>
      </c>
      <c r="C313" s="399">
        <v>2</v>
      </c>
      <c r="D313" s="400" t="s">
        <v>16</v>
      </c>
      <c r="E313" s="139">
        <v>86122</v>
      </c>
      <c r="F313" s="140">
        <f t="shared" si="84"/>
        <v>172244</v>
      </c>
      <c r="G313" s="141"/>
    </row>
    <row r="314" spans="1:7" s="315" customFormat="1" ht="18.75" customHeight="1">
      <c r="A314" s="342">
        <f>A312+0.01</f>
        <v>34.109999999999978</v>
      </c>
      <c r="B314" s="236" t="s">
        <v>774</v>
      </c>
      <c r="C314" s="399" t="e">
        <f>#REF!</f>
        <v>#REF!</v>
      </c>
      <c r="D314" s="139" t="s">
        <v>438</v>
      </c>
      <c r="E314" s="139">
        <v>8814.1</v>
      </c>
      <c r="F314" s="140" t="e">
        <f t="shared" si="84"/>
        <v>#REF!</v>
      </c>
      <c r="G314" s="141"/>
    </row>
    <row r="315" spans="1:7" s="315" customFormat="1" ht="20.25" customHeight="1">
      <c r="A315" s="342">
        <f t="shared" si="83"/>
        <v>34.119999999999976</v>
      </c>
      <c r="B315" s="356" t="s">
        <v>713</v>
      </c>
      <c r="C315" s="399" t="e">
        <f>#REF!</f>
        <v>#REF!</v>
      </c>
      <c r="D315" s="240" t="s">
        <v>24</v>
      </c>
      <c r="E315" s="139">
        <f>E212</f>
        <v>1407.545175490779</v>
      </c>
      <c r="F315" s="140" t="e">
        <f t="shared" si="84"/>
        <v>#REF!</v>
      </c>
      <c r="G315" s="141" t="e">
        <f>SUM(F303:F315)</f>
        <v>#REF!</v>
      </c>
    </row>
    <row r="316" spans="1:7" s="315" customFormat="1" ht="20.25" customHeight="1">
      <c r="A316" s="242">
        <v>35</v>
      </c>
      <c r="B316" s="343" t="s">
        <v>662</v>
      </c>
      <c r="C316" s="139"/>
      <c r="D316" s="139"/>
      <c r="E316" s="139"/>
      <c r="F316" s="140"/>
      <c r="G316" s="141"/>
    </row>
    <row r="317" spans="1:7" s="315" customFormat="1" ht="20.25" customHeight="1">
      <c r="A317" s="342">
        <f>A316+0.01</f>
        <v>35.01</v>
      </c>
      <c r="B317" s="398" t="s">
        <v>965</v>
      </c>
      <c r="C317" s="139">
        <v>16</v>
      </c>
      <c r="D317" s="240" t="s">
        <v>16</v>
      </c>
      <c r="E317" s="139">
        <v>8500</v>
      </c>
      <c r="F317" s="140">
        <f t="shared" ref="F317:F320" si="85">ROUND(C317*E317,2)</f>
        <v>136000</v>
      </c>
      <c r="G317" s="141"/>
    </row>
    <row r="318" spans="1:7" s="315" customFormat="1" ht="34.5" customHeight="1">
      <c r="A318" s="342">
        <f t="shared" ref="A318:A319" si="86">A317+0.01</f>
        <v>35.019999999999996</v>
      </c>
      <c r="B318" s="398" t="s">
        <v>957</v>
      </c>
      <c r="C318" s="399">
        <v>2</v>
      </c>
      <c r="D318" s="400" t="s">
        <v>16</v>
      </c>
      <c r="E318" s="139">
        <v>30000</v>
      </c>
      <c r="F318" s="140">
        <f t="shared" si="85"/>
        <v>60000</v>
      </c>
      <c r="G318" s="141"/>
    </row>
    <row r="319" spans="1:7" s="315" customFormat="1" ht="20.25" customHeight="1">
      <c r="A319" s="342">
        <f t="shared" si="86"/>
        <v>35.029999999999994</v>
      </c>
      <c r="B319" s="398" t="s">
        <v>958</v>
      </c>
      <c r="C319" s="399">
        <v>1</v>
      </c>
      <c r="D319" s="400" t="s">
        <v>16</v>
      </c>
      <c r="E319" s="139">
        <v>8500</v>
      </c>
      <c r="F319" s="140">
        <f t="shared" si="85"/>
        <v>8500</v>
      </c>
      <c r="G319" s="141"/>
    </row>
    <row r="320" spans="1:7" s="315" customFormat="1" ht="18.75" customHeight="1">
      <c r="A320" s="342">
        <f t="shared" ref="A320" si="87">A319+0.01</f>
        <v>35.039999999999992</v>
      </c>
      <c r="B320" s="398" t="s">
        <v>962</v>
      </c>
      <c r="C320" s="399">
        <v>1</v>
      </c>
      <c r="D320" s="400" t="s">
        <v>16</v>
      </c>
      <c r="E320" s="139">
        <v>8500</v>
      </c>
      <c r="F320" s="140">
        <f t="shared" si="85"/>
        <v>8500</v>
      </c>
      <c r="G320" s="141">
        <f>SUM(F317:F320)</f>
        <v>213000</v>
      </c>
    </row>
    <row r="321" spans="1:7" s="315" customFormat="1" ht="20.25" customHeight="1">
      <c r="A321" s="242">
        <v>36</v>
      </c>
      <c r="B321" s="343" t="s">
        <v>663</v>
      </c>
      <c r="C321" s="139"/>
      <c r="D321" s="139"/>
      <c r="E321" s="139"/>
      <c r="F321" s="140"/>
      <c r="G321" s="141"/>
    </row>
    <row r="322" spans="1:7" s="315" customFormat="1" ht="20.25" customHeight="1">
      <c r="A322" s="342">
        <f t="shared" ref="A322:A324" si="88">A321+0.01</f>
        <v>36.01</v>
      </c>
      <c r="B322" s="234" t="s">
        <v>1001</v>
      </c>
      <c r="C322" s="139" t="e">
        <f>#REF!</f>
        <v>#REF!</v>
      </c>
      <c r="D322" s="139" t="s">
        <v>664</v>
      </c>
      <c r="E322" s="139">
        <f>E219</f>
        <v>1384.1399999999999</v>
      </c>
      <c r="F322" s="140" t="e">
        <f t="shared" ref="F322:F324" si="89">ROUND(C322*E322,2)</f>
        <v>#REF!</v>
      </c>
    </row>
    <row r="323" spans="1:7" s="315" customFormat="1" ht="23.25" customHeight="1">
      <c r="A323" s="342">
        <f t="shared" si="88"/>
        <v>36.019999999999996</v>
      </c>
      <c r="B323" s="234" t="s">
        <v>964</v>
      </c>
      <c r="C323" s="139">
        <f>1.2*1.1*1</f>
        <v>1.32</v>
      </c>
      <c r="D323" s="240" t="s">
        <v>39</v>
      </c>
      <c r="E323" s="139">
        <v>3500</v>
      </c>
      <c r="F323" s="140">
        <f t="shared" si="89"/>
        <v>4620</v>
      </c>
      <c r="G323" s="141"/>
    </row>
    <row r="324" spans="1:7" s="315" customFormat="1" ht="23.25" customHeight="1">
      <c r="A324" s="342">
        <f t="shared" si="88"/>
        <v>36.029999999999994</v>
      </c>
      <c r="B324" s="234" t="s">
        <v>963</v>
      </c>
      <c r="C324" s="139">
        <f>0.8*0.6*2</f>
        <v>0.96</v>
      </c>
      <c r="D324" s="240" t="s">
        <v>39</v>
      </c>
      <c r="E324" s="139">
        <v>3500</v>
      </c>
      <c r="F324" s="140">
        <f t="shared" si="89"/>
        <v>3360</v>
      </c>
      <c r="G324" s="141" t="e">
        <f>SUM(F322:F324)</f>
        <v>#REF!</v>
      </c>
    </row>
    <row r="325" spans="1:7" s="315" customFormat="1" ht="20.25" customHeight="1">
      <c r="A325" s="242">
        <v>37</v>
      </c>
      <c r="B325" s="343" t="s">
        <v>481</v>
      </c>
      <c r="C325" s="139"/>
      <c r="D325" s="139"/>
      <c r="E325" s="139"/>
      <c r="F325" s="140"/>
      <c r="G325" s="141"/>
    </row>
    <row r="326" spans="1:7" s="315" customFormat="1" ht="20.25" customHeight="1">
      <c r="A326" s="342">
        <f t="shared" ref="A326:A331" si="90">A325+0.01</f>
        <v>37.01</v>
      </c>
      <c r="B326" s="235" t="s">
        <v>684</v>
      </c>
      <c r="C326" s="139" t="e">
        <f>#REF!</f>
        <v>#REF!</v>
      </c>
      <c r="D326" s="139" t="s">
        <v>39</v>
      </c>
      <c r="E326" s="139" t="e">
        <f>#REF!</f>
        <v>#REF!</v>
      </c>
      <c r="F326" s="140" t="e">
        <f t="shared" ref="F326:F331" si="91">ROUND(C326*E326,2)</f>
        <v>#REF!</v>
      </c>
      <c r="G326" s="141"/>
    </row>
    <row r="327" spans="1:7" s="315" customFormat="1" ht="20.25" customHeight="1">
      <c r="A327" s="342">
        <f t="shared" si="90"/>
        <v>37.019999999999996</v>
      </c>
      <c r="B327" s="235" t="s">
        <v>675</v>
      </c>
      <c r="C327" s="139" t="e">
        <f>#REF!</f>
        <v>#REF!</v>
      </c>
      <c r="D327" s="139" t="s">
        <v>39</v>
      </c>
      <c r="E327" s="139" t="e">
        <f>#REF!</f>
        <v>#REF!</v>
      </c>
      <c r="F327" s="140" t="e">
        <f t="shared" si="91"/>
        <v>#REF!</v>
      </c>
      <c r="G327" s="141"/>
    </row>
    <row r="328" spans="1:7" s="315" customFormat="1" ht="20.25" customHeight="1">
      <c r="A328" s="342">
        <f t="shared" si="90"/>
        <v>37.029999999999994</v>
      </c>
      <c r="B328" s="235" t="s">
        <v>666</v>
      </c>
      <c r="C328" s="139" t="e">
        <f>#REF!</f>
        <v>#REF!</v>
      </c>
      <c r="D328" s="139" t="s">
        <v>39</v>
      </c>
      <c r="E328" s="139" t="e">
        <f>#REF!</f>
        <v>#REF!</v>
      </c>
      <c r="F328" s="140" t="e">
        <f t="shared" si="91"/>
        <v>#REF!</v>
      </c>
      <c r="G328" s="141"/>
    </row>
    <row r="329" spans="1:7" s="315" customFormat="1" ht="20.25" customHeight="1">
      <c r="A329" s="342">
        <f t="shared" si="90"/>
        <v>37.039999999999992</v>
      </c>
      <c r="B329" s="235" t="s">
        <v>667</v>
      </c>
      <c r="C329" s="139" t="e">
        <f>#REF!</f>
        <v>#REF!</v>
      </c>
      <c r="D329" s="139" t="s">
        <v>39</v>
      </c>
      <c r="E329" s="139" t="e">
        <f>#REF!</f>
        <v>#REF!</v>
      </c>
      <c r="F329" s="140" t="e">
        <f t="shared" si="91"/>
        <v>#REF!</v>
      </c>
      <c r="G329" s="141"/>
    </row>
    <row r="330" spans="1:7" s="315" customFormat="1" ht="20.25" customHeight="1">
      <c r="A330" s="342">
        <f t="shared" si="90"/>
        <v>37.04999999999999</v>
      </c>
      <c r="B330" s="235" t="s">
        <v>668</v>
      </c>
      <c r="C330" s="139" t="e">
        <f>#REF!</f>
        <v>#REF!</v>
      </c>
      <c r="D330" s="139" t="s">
        <v>39</v>
      </c>
      <c r="E330" s="139" t="e">
        <f>#REF!</f>
        <v>#REF!</v>
      </c>
      <c r="F330" s="140" t="e">
        <f t="shared" si="91"/>
        <v>#REF!</v>
      </c>
    </row>
    <row r="331" spans="1:7" s="315" customFormat="1" ht="18" customHeight="1">
      <c r="A331" s="342">
        <f t="shared" si="90"/>
        <v>37.059999999999988</v>
      </c>
      <c r="B331" s="241" t="s">
        <v>978</v>
      </c>
      <c r="C331" s="139" t="e">
        <f>#REF!</f>
        <v>#REF!</v>
      </c>
      <c r="D331" s="139" t="s">
        <v>39</v>
      </c>
      <c r="E331" s="139">
        <f>'ana A1'!$M$999</f>
        <v>341.41999999999996</v>
      </c>
      <c r="F331" s="140" t="e">
        <f t="shared" si="91"/>
        <v>#REF!</v>
      </c>
      <c r="G331" s="141" t="e">
        <f>SUM(F326:F331)</f>
        <v>#REF!</v>
      </c>
    </row>
    <row r="332" spans="1:7" s="315" customFormat="1" ht="19.5" customHeight="1">
      <c r="A332" s="361">
        <v>38</v>
      </c>
      <c r="B332" s="357" t="s">
        <v>936</v>
      </c>
      <c r="C332" s="358"/>
      <c r="D332" s="359" t="s">
        <v>477</v>
      </c>
      <c r="E332" s="359"/>
      <c r="F332" s="359"/>
      <c r="G332" s="362"/>
    </row>
    <row r="333" spans="1:7" s="315" customFormat="1" ht="14.25" customHeight="1">
      <c r="A333" s="229">
        <f t="shared" ref="A333:A335" si="92">A332+0.01</f>
        <v>38.01</v>
      </c>
      <c r="B333" s="235" t="s">
        <v>737</v>
      </c>
      <c r="C333" s="139" t="e">
        <f>#REF!</f>
        <v>#REF!</v>
      </c>
      <c r="D333" s="139" t="s">
        <v>39</v>
      </c>
      <c r="E333" s="139" t="e">
        <f>#REF!</f>
        <v>#REF!</v>
      </c>
      <c r="F333" s="139" t="e">
        <f>ROUND(C333*E333,2)</f>
        <v>#REF!</v>
      </c>
      <c r="G333" s="141"/>
    </row>
    <row r="334" spans="1:7" s="315" customFormat="1" ht="17.25" customHeight="1">
      <c r="A334" s="229">
        <f t="shared" si="92"/>
        <v>38.019999999999996</v>
      </c>
      <c r="B334" s="235" t="s">
        <v>738</v>
      </c>
      <c r="C334" s="139" t="e">
        <f>#REF!</f>
        <v>#REF!</v>
      </c>
      <c r="D334" s="139" t="s">
        <v>658</v>
      </c>
      <c r="E334" s="139" t="e">
        <f>#REF!</f>
        <v>#REF!</v>
      </c>
      <c r="F334" s="139" t="e">
        <f t="shared" ref="F334" si="93">ROUND(C334*E334,2)</f>
        <v>#REF!</v>
      </c>
      <c r="G334" s="141"/>
    </row>
    <row r="335" spans="1:7" s="315" customFormat="1" ht="31.5" customHeight="1">
      <c r="A335" s="229">
        <f t="shared" si="92"/>
        <v>38.029999999999994</v>
      </c>
      <c r="B335" s="241" t="s">
        <v>739</v>
      </c>
      <c r="C335" s="139" t="e">
        <f>#REF!</f>
        <v>#REF!</v>
      </c>
      <c r="D335" s="139" t="s">
        <v>39</v>
      </c>
      <c r="E335" s="139">
        <f>$E$232+7.19</f>
        <v>699.19</v>
      </c>
      <c r="F335" s="139" t="e">
        <f>ROUND(C335*E335,2)</f>
        <v>#REF!</v>
      </c>
      <c r="G335" s="141" t="e">
        <f>SUM(F333:F335)</f>
        <v>#REF!</v>
      </c>
    </row>
    <row r="336" spans="1:7" s="315" customFormat="1" ht="20.25" customHeight="1">
      <c r="A336" s="344">
        <v>39</v>
      </c>
      <c r="B336" s="345" t="s">
        <v>669</v>
      </c>
      <c r="C336" s="240"/>
      <c r="D336" s="240"/>
      <c r="E336" s="139"/>
      <c r="F336" s="140"/>
      <c r="G336" s="141"/>
    </row>
    <row r="337" spans="1:8" s="315" customFormat="1" ht="20.25" customHeight="1">
      <c r="A337" s="342">
        <f t="shared" ref="A337:A346" si="94">A336+0.01</f>
        <v>39.01</v>
      </c>
      <c r="B337" s="235" t="s">
        <v>685</v>
      </c>
      <c r="C337" s="139" t="e">
        <f>#REF!</f>
        <v>#REF!</v>
      </c>
      <c r="D337" s="139" t="s">
        <v>664</v>
      </c>
      <c r="E337" s="139">
        <f>E234</f>
        <v>550</v>
      </c>
      <c r="F337" s="140" t="e">
        <f t="shared" ref="F337:F346" si="95">ROUND(C337*E337,2)</f>
        <v>#REF!</v>
      </c>
      <c r="G337" s="141"/>
    </row>
    <row r="338" spans="1:8" s="315" customFormat="1" ht="20.25" customHeight="1">
      <c r="A338" s="342">
        <f t="shared" si="94"/>
        <v>39.019999999999996</v>
      </c>
      <c r="B338" s="232" t="s">
        <v>999</v>
      </c>
      <c r="C338" s="139" t="e">
        <f>#REF!</f>
        <v>#REF!</v>
      </c>
      <c r="D338" s="139" t="s">
        <v>39</v>
      </c>
      <c r="E338" s="139">
        <f>E235</f>
        <v>1200</v>
      </c>
      <c r="F338" s="140" t="e">
        <f t="shared" si="95"/>
        <v>#REF!</v>
      </c>
      <c r="G338" s="141"/>
    </row>
    <row r="339" spans="1:8" s="315" customFormat="1" ht="22.5" customHeight="1">
      <c r="A339" s="342">
        <f t="shared" si="94"/>
        <v>39.029999999999994</v>
      </c>
      <c r="B339" s="234" t="s">
        <v>721</v>
      </c>
      <c r="C339" s="139" t="e">
        <f>#REF!</f>
        <v>#REF!</v>
      </c>
      <c r="D339" s="139" t="s">
        <v>479</v>
      </c>
      <c r="E339" s="139">
        <f>E236</f>
        <v>60</v>
      </c>
      <c r="F339" s="140" t="e">
        <f t="shared" si="95"/>
        <v>#REF!</v>
      </c>
      <c r="G339" s="141"/>
    </row>
    <row r="340" spans="1:8" s="315" customFormat="1" ht="22.5" customHeight="1">
      <c r="A340" s="342">
        <f t="shared" si="94"/>
        <v>39.039999999999992</v>
      </c>
      <c r="B340" s="234" t="s">
        <v>926</v>
      </c>
      <c r="C340" s="139" t="e">
        <f>C339*2</f>
        <v>#REF!</v>
      </c>
      <c r="D340" s="139" t="s">
        <v>479</v>
      </c>
      <c r="E340" s="139">
        <v>110.64</v>
      </c>
      <c r="F340" s="140" t="e">
        <f t="shared" si="95"/>
        <v>#REF!</v>
      </c>
      <c r="G340" s="141"/>
      <c r="H340" s="397"/>
    </row>
    <row r="341" spans="1:8" s="315" customFormat="1" ht="22.5" customHeight="1">
      <c r="A341" s="342">
        <f t="shared" si="94"/>
        <v>39.04999999999999</v>
      </c>
      <c r="B341" s="232" t="s">
        <v>749</v>
      </c>
      <c r="C341" s="139" t="e">
        <f>C241</f>
        <v>#REF!</v>
      </c>
      <c r="D341" s="139" t="s">
        <v>39</v>
      </c>
      <c r="E341" s="139" t="e">
        <f>E241</f>
        <v>#REF!</v>
      </c>
      <c r="F341" s="140" t="e">
        <f t="shared" si="95"/>
        <v>#REF!</v>
      </c>
      <c r="G341" s="141"/>
    </row>
    <row r="342" spans="1:8" s="315" customFormat="1" ht="22.5" customHeight="1">
      <c r="A342" s="342">
        <f t="shared" si="94"/>
        <v>39.059999999999988</v>
      </c>
      <c r="B342" s="232" t="s">
        <v>953</v>
      </c>
      <c r="C342" s="139">
        <f>2.3*2+2.1*2</f>
        <v>8.8000000000000007</v>
      </c>
      <c r="D342" s="139" t="s">
        <v>39</v>
      </c>
      <c r="E342" s="139" t="e">
        <f>E341</f>
        <v>#REF!</v>
      </c>
      <c r="F342" s="140" t="e">
        <f t="shared" si="95"/>
        <v>#REF!</v>
      </c>
      <c r="G342" s="141"/>
    </row>
    <row r="343" spans="1:8" s="315" customFormat="1" ht="36.75" customHeight="1">
      <c r="A343" s="229">
        <f t="shared" si="94"/>
        <v>39.069999999999986</v>
      </c>
      <c r="B343" s="234" t="s">
        <v>1000</v>
      </c>
      <c r="C343" s="139">
        <v>1</v>
      </c>
      <c r="D343" s="139" t="s">
        <v>2</v>
      </c>
      <c r="E343" s="139">
        <v>29011.75</v>
      </c>
      <c r="F343" s="140">
        <f t="shared" si="95"/>
        <v>29011.75</v>
      </c>
      <c r="G343" s="141"/>
    </row>
    <row r="344" spans="1:8" s="315" customFormat="1" ht="22.5" customHeight="1">
      <c r="A344" s="229">
        <f>A342+0.01</f>
        <v>39.069999999999986</v>
      </c>
      <c r="B344" s="232" t="s">
        <v>992</v>
      </c>
      <c r="C344" s="139">
        <v>77.599999999999994</v>
      </c>
      <c r="D344" s="139" t="s">
        <v>479</v>
      </c>
      <c r="E344" s="139">
        <f>'ana A1'!I1145</f>
        <v>6000</v>
      </c>
      <c r="F344" s="140">
        <f t="shared" si="95"/>
        <v>465600</v>
      </c>
      <c r="G344" s="141"/>
    </row>
    <row r="345" spans="1:8" s="315" customFormat="1" ht="20.25" customHeight="1">
      <c r="A345" s="342">
        <f>A342+0.01</f>
        <v>39.069999999999986</v>
      </c>
      <c r="B345" s="232" t="s">
        <v>759</v>
      </c>
      <c r="C345" s="139" t="e">
        <f>#REF!</f>
        <v>#REF!</v>
      </c>
      <c r="D345" s="139" t="s">
        <v>658</v>
      </c>
      <c r="E345" s="139">
        <f>'ana A1'!$F$1048</f>
        <v>6003.6</v>
      </c>
      <c r="F345" s="140" t="e">
        <f t="shared" si="95"/>
        <v>#REF!</v>
      </c>
      <c r="G345" s="141"/>
    </row>
    <row r="346" spans="1:8" s="315" customFormat="1" ht="20.25" customHeight="1">
      <c r="A346" s="342">
        <f t="shared" si="94"/>
        <v>39.079999999999984</v>
      </c>
      <c r="B346" s="232" t="s">
        <v>760</v>
      </c>
      <c r="C346" s="139">
        <v>13.2</v>
      </c>
      <c r="D346" s="139" t="s">
        <v>39</v>
      </c>
      <c r="E346" s="139">
        <f>E243</f>
        <v>3339.29</v>
      </c>
      <c r="F346" s="140">
        <f t="shared" si="95"/>
        <v>44078.63</v>
      </c>
      <c r="G346" s="141" t="e">
        <f>SUM(F337:F346)</f>
        <v>#REF!</v>
      </c>
    </row>
    <row r="347" spans="1:8" s="315" customFormat="1" ht="20.25" customHeight="1">
      <c r="A347" s="342"/>
      <c r="B347" s="234"/>
      <c r="C347" s="139"/>
      <c r="D347" s="139"/>
      <c r="E347" s="139"/>
      <c r="F347" s="140"/>
      <c r="G347" s="141"/>
    </row>
    <row r="348" spans="1:8" s="315" customFormat="1" ht="20.25" customHeight="1">
      <c r="A348" s="342"/>
      <c r="B348" s="343" t="s">
        <v>734</v>
      </c>
      <c r="C348" s="139"/>
      <c r="D348" s="139"/>
      <c r="E348" s="139"/>
      <c r="F348" s="140"/>
      <c r="G348" s="141"/>
    </row>
    <row r="349" spans="1:8" s="315" customFormat="1" ht="20.25" customHeight="1">
      <c r="A349" s="342"/>
      <c r="B349" s="235"/>
      <c r="C349" s="139"/>
      <c r="D349" s="139"/>
      <c r="E349" s="139"/>
      <c r="F349" s="140"/>
      <c r="G349" s="141"/>
    </row>
    <row r="350" spans="1:8" s="315" customFormat="1" ht="20.25" customHeight="1">
      <c r="A350" s="242">
        <v>40</v>
      </c>
      <c r="B350" s="343" t="s">
        <v>478</v>
      </c>
      <c r="C350" s="139"/>
      <c r="D350" s="139" t="s">
        <v>477</v>
      </c>
      <c r="E350" s="139"/>
      <c r="F350" s="140"/>
      <c r="G350" s="141"/>
    </row>
    <row r="351" spans="1:8" s="315" customFormat="1" ht="20.25" customHeight="1">
      <c r="A351" s="342">
        <f>A350+0.01</f>
        <v>40.01</v>
      </c>
      <c r="B351" s="232" t="s">
        <v>693</v>
      </c>
      <c r="C351" s="139" t="e">
        <f>+#REF!</f>
        <v>#REF!</v>
      </c>
      <c r="D351" s="139" t="s">
        <v>651</v>
      </c>
      <c r="E351" s="139" t="e">
        <f>'ana A1'!$F$287</f>
        <v>#REF!</v>
      </c>
      <c r="F351" s="140" t="e">
        <f t="shared" ref="F351:F365" si="96">ROUND(C351*E351,2)</f>
        <v>#REF!</v>
      </c>
      <c r="G351" s="141"/>
    </row>
    <row r="352" spans="1:8" s="315" customFormat="1" ht="20.25" customHeight="1">
      <c r="A352" s="342">
        <f t="shared" ref="A352:A365" si="97">A351+0.01</f>
        <v>40.019999999999996</v>
      </c>
      <c r="B352" s="232" t="s">
        <v>694</v>
      </c>
      <c r="C352" s="139" t="e">
        <f>+#REF!</f>
        <v>#REF!</v>
      </c>
      <c r="D352" s="139" t="s">
        <v>651</v>
      </c>
      <c r="E352" s="139" t="e">
        <f>'ana A1'!$M$288</f>
        <v>#REF!</v>
      </c>
      <c r="F352" s="140" t="e">
        <f t="shared" si="96"/>
        <v>#REF!</v>
      </c>
      <c r="G352" s="141"/>
    </row>
    <row r="353" spans="1:7" s="315" customFormat="1" ht="20.25" customHeight="1">
      <c r="A353" s="342">
        <f t="shared" si="97"/>
        <v>40.029999999999994</v>
      </c>
      <c r="B353" s="232" t="s">
        <v>695</v>
      </c>
      <c r="C353" s="139" t="e">
        <f>+#REF!</f>
        <v>#REF!</v>
      </c>
      <c r="D353" s="139" t="s">
        <v>651</v>
      </c>
      <c r="E353" s="139" t="e">
        <f>'ana A1'!$F$343</f>
        <v>#REF!</v>
      </c>
      <c r="F353" s="140" t="e">
        <f t="shared" si="96"/>
        <v>#REF!</v>
      </c>
      <c r="G353" s="141"/>
    </row>
    <row r="354" spans="1:7" s="315" customFormat="1" ht="20.25" customHeight="1">
      <c r="A354" s="342">
        <f t="shared" si="97"/>
        <v>40.039999999999992</v>
      </c>
      <c r="B354" s="232" t="s">
        <v>722</v>
      </c>
      <c r="C354" s="139" t="e">
        <f>+#REF!</f>
        <v>#REF!</v>
      </c>
      <c r="D354" s="139" t="s">
        <v>651</v>
      </c>
      <c r="E354" s="139" t="e">
        <f>'ana A1'!$M$344</f>
        <v>#REF!</v>
      </c>
      <c r="F354" s="140" t="e">
        <f t="shared" si="96"/>
        <v>#REF!</v>
      </c>
      <c r="G354" s="141"/>
    </row>
    <row r="355" spans="1:7" s="315" customFormat="1" ht="20.25" customHeight="1">
      <c r="A355" s="342">
        <f t="shared" si="97"/>
        <v>40.04999999999999</v>
      </c>
      <c r="B355" s="232" t="s">
        <v>700</v>
      </c>
      <c r="C355" s="139" t="e">
        <f>#REF!</f>
        <v>#REF!</v>
      </c>
      <c r="D355" s="139" t="s">
        <v>651</v>
      </c>
      <c r="E355" s="139" t="e">
        <f>'ana A1'!$M$491</f>
        <v>#REF!</v>
      </c>
      <c r="F355" s="140" t="e">
        <f t="shared" si="96"/>
        <v>#REF!</v>
      </c>
      <c r="G355" s="141"/>
    </row>
    <row r="356" spans="1:7" s="315" customFormat="1" ht="20.25" customHeight="1">
      <c r="A356" s="342">
        <f t="shared" si="97"/>
        <v>40.059999999999988</v>
      </c>
      <c r="B356" s="232" t="s">
        <v>701</v>
      </c>
      <c r="C356" s="139" t="e">
        <f>#REF!</f>
        <v>#REF!</v>
      </c>
      <c r="D356" s="139" t="s">
        <v>651</v>
      </c>
      <c r="E356" s="139" t="e">
        <f>'ana A1'!$F$504</f>
        <v>#REF!</v>
      </c>
      <c r="F356" s="140" t="e">
        <f t="shared" si="96"/>
        <v>#REF!</v>
      </c>
      <c r="G356" s="141"/>
    </row>
    <row r="357" spans="1:7" s="315" customFormat="1" ht="30.75" customHeight="1">
      <c r="A357" s="342">
        <f t="shared" si="97"/>
        <v>40.069999999999986</v>
      </c>
      <c r="B357" s="234" t="s">
        <v>705</v>
      </c>
      <c r="C357" s="139" t="e">
        <f>+#REF!</f>
        <v>#REF!</v>
      </c>
      <c r="D357" s="139" t="s">
        <v>651</v>
      </c>
      <c r="E357" s="139" t="e">
        <f>'ana A1'!$F$556</f>
        <v>#REF!</v>
      </c>
      <c r="F357" s="140" t="e">
        <f t="shared" si="96"/>
        <v>#REF!</v>
      </c>
      <c r="G357" s="141"/>
    </row>
    <row r="358" spans="1:7" s="315" customFormat="1" ht="30.75" customHeight="1">
      <c r="A358" s="342">
        <f t="shared" si="97"/>
        <v>40.079999999999984</v>
      </c>
      <c r="B358" s="234" t="s">
        <v>706</v>
      </c>
      <c r="C358" s="139" t="e">
        <f>+#REF!</f>
        <v>#REF!</v>
      </c>
      <c r="D358" s="139" t="s">
        <v>651</v>
      </c>
      <c r="E358" s="139" t="e">
        <f>'ana A1'!$M$569</f>
        <v>#REF!</v>
      </c>
      <c r="F358" s="140" t="e">
        <f t="shared" si="96"/>
        <v>#REF!</v>
      </c>
      <c r="G358" s="141"/>
    </row>
    <row r="359" spans="1:7" s="315" customFormat="1" ht="20.25" customHeight="1">
      <c r="A359" s="342">
        <f t="shared" si="97"/>
        <v>40.089999999999982</v>
      </c>
      <c r="B359" s="234" t="s">
        <v>724</v>
      </c>
      <c r="C359" s="139" t="e">
        <f>+#REF!</f>
        <v>#REF!</v>
      </c>
      <c r="D359" s="139" t="s">
        <v>651</v>
      </c>
      <c r="E359" s="139" t="e">
        <f>'ana A1'!$F$609</f>
        <v>#REF!</v>
      </c>
      <c r="F359" s="140" t="e">
        <f t="shared" si="96"/>
        <v>#REF!</v>
      </c>
      <c r="G359" s="141"/>
    </row>
    <row r="360" spans="1:7" s="315" customFormat="1" ht="20.25" customHeight="1">
      <c r="A360" s="342">
        <f t="shared" si="97"/>
        <v>40.09999999999998</v>
      </c>
      <c r="B360" s="234" t="s">
        <v>725</v>
      </c>
      <c r="C360" s="139" t="e">
        <f>+#REF!</f>
        <v>#REF!</v>
      </c>
      <c r="D360" s="139" t="s">
        <v>651</v>
      </c>
      <c r="E360" s="139" t="e">
        <f>'ana A1'!$M$624</f>
        <v>#REF!</v>
      </c>
      <c r="F360" s="140" t="e">
        <f t="shared" si="96"/>
        <v>#REF!</v>
      </c>
      <c r="G360" s="141"/>
    </row>
    <row r="361" spans="1:7" s="315" customFormat="1" ht="20.25" customHeight="1">
      <c r="A361" s="342">
        <f t="shared" si="97"/>
        <v>40.109999999999978</v>
      </c>
      <c r="B361" s="234" t="s">
        <v>726</v>
      </c>
      <c r="C361" s="139" t="e">
        <f>+#REF!</f>
        <v>#REF!</v>
      </c>
      <c r="D361" s="139" t="s">
        <v>651</v>
      </c>
      <c r="E361" s="139" t="e">
        <f>'ana A1'!$F$663</f>
        <v>#REF!</v>
      </c>
      <c r="F361" s="140" t="e">
        <f t="shared" si="96"/>
        <v>#REF!</v>
      </c>
      <c r="G361" s="141"/>
    </row>
    <row r="362" spans="1:7" s="315" customFormat="1" ht="29.25" customHeight="1">
      <c r="A362" s="342">
        <f t="shared" si="97"/>
        <v>40.119999999999976</v>
      </c>
      <c r="B362" s="234" t="s">
        <v>940</v>
      </c>
      <c r="C362" s="139" t="e">
        <f>+#REF!</f>
        <v>#REF!</v>
      </c>
      <c r="D362" s="139" t="s">
        <v>651</v>
      </c>
      <c r="E362" s="139" t="e">
        <f>'ana A1'!$M$849</f>
        <v>#REF!</v>
      </c>
      <c r="F362" s="140" t="e">
        <f t="shared" si="96"/>
        <v>#REF!</v>
      </c>
      <c r="G362" s="141"/>
    </row>
    <row r="363" spans="1:7" s="315" customFormat="1" ht="30" customHeight="1">
      <c r="A363" s="342">
        <f t="shared" si="97"/>
        <v>40.129999999999974</v>
      </c>
      <c r="B363" s="234" t="s">
        <v>941</v>
      </c>
      <c r="C363" s="139" t="e">
        <f>+#REF!</f>
        <v>#REF!</v>
      </c>
      <c r="D363" s="139" t="s">
        <v>651</v>
      </c>
      <c r="E363" s="139" t="e">
        <f>'ana A1'!$F$951</f>
        <v>#REF!</v>
      </c>
      <c r="F363" s="140" t="e">
        <f t="shared" si="96"/>
        <v>#REF!</v>
      </c>
      <c r="G363" s="141"/>
    </row>
    <row r="364" spans="1:7" s="315" customFormat="1" ht="34.5" customHeight="1">
      <c r="A364" s="342">
        <f t="shared" si="97"/>
        <v>40.139999999999972</v>
      </c>
      <c r="B364" s="234" t="s">
        <v>935</v>
      </c>
      <c r="C364" s="139" t="e">
        <f>#REF!</f>
        <v>#REF!</v>
      </c>
      <c r="D364" s="139" t="s">
        <v>651</v>
      </c>
      <c r="E364" s="139" t="e">
        <f>'ana A1'!$M$791</f>
        <v>#REF!</v>
      </c>
      <c r="F364" s="140" t="e">
        <f t="shared" si="96"/>
        <v>#REF!</v>
      </c>
    </row>
    <row r="365" spans="1:7" s="315" customFormat="1" ht="20.25" customHeight="1">
      <c r="A365" s="342">
        <f t="shared" si="97"/>
        <v>40.14999999999997</v>
      </c>
      <c r="B365" s="234" t="s">
        <v>939</v>
      </c>
      <c r="C365" s="139" t="e">
        <f>#REF!</f>
        <v>#REF!</v>
      </c>
      <c r="D365" s="139" t="s">
        <v>658</v>
      </c>
      <c r="E365" s="139" t="e">
        <f>'ana A1'!$M$862</f>
        <v>#REF!</v>
      </c>
      <c r="F365" s="140" t="e">
        <f t="shared" si="96"/>
        <v>#REF!</v>
      </c>
      <c r="G365" s="141" t="e">
        <f>SUM(F351:F365)</f>
        <v>#REF!</v>
      </c>
    </row>
    <row r="366" spans="1:7" s="315" customFormat="1" ht="20.25" customHeight="1">
      <c r="A366" s="242">
        <v>41</v>
      </c>
      <c r="B366" s="343" t="s">
        <v>654</v>
      </c>
      <c r="C366" s="139"/>
      <c r="D366" s="139"/>
      <c r="E366" s="139"/>
      <c r="F366" s="140"/>
      <c r="G366" s="141"/>
    </row>
    <row r="367" spans="1:7" s="315" customFormat="1" ht="22.5" customHeight="1">
      <c r="A367" s="342">
        <f>A366+0.01</f>
        <v>41.01</v>
      </c>
      <c r="B367" s="241" t="s">
        <v>898</v>
      </c>
      <c r="C367" s="139" t="e">
        <f>+#REF!</f>
        <v>#REF!</v>
      </c>
      <c r="D367" s="139" t="s">
        <v>438</v>
      </c>
      <c r="E367" s="139" t="e">
        <f>#REF!</f>
        <v>#REF!</v>
      </c>
      <c r="F367" s="140" t="e">
        <f t="shared" ref="F367:F372" si="98">ROUND(C367*E367,2)</f>
        <v>#REF!</v>
      </c>
      <c r="G367" s="141"/>
    </row>
    <row r="368" spans="1:7" s="315" customFormat="1" ht="22.5" customHeight="1">
      <c r="A368" s="342">
        <f t="shared" ref="A368:A372" si="99">A367+0.01</f>
        <v>41.019999999999996</v>
      </c>
      <c r="B368" s="241" t="s">
        <v>923</v>
      </c>
      <c r="C368" s="139" t="e">
        <f>+#REF!</f>
        <v>#REF!</v>
      </c>
      <c r="D368" s="139" t="s">
        <v>438</v>
      </c>
      <c r="E368" s="139" t="e">
        <f>#REF!</f>
        <v>#REF!</v>
      </c>
      <c r="F368" s="140" t="e">
        <f t="shared" si="98"/>
        <v>#REF!</v>
      </c>
      <c r="G368" s="141"/>
    </row>
    <row r="369" spans="1:7" s="315" customFormat="1" ht="22.5" customHeight="1">
      <c r="A369" s="342">
        <f t="shared" si="99"/>
        <v>41.029999999999994</v>
      </c>
      <c r="B369" s="234" t="s">
        <v>895</v>
      </c>
      <c r="C369" s="139" t="e">
        <f>#REF!</f>
        <v>#REF!</v>
      </c>
      <c r="D369" s="139" t="s">
        <v>438</v>
      </c>
      <c r="E369" s="139" t="e">
        <f>#REF!</f>
        <v>#REF!</v>
      </c>
      <c r="F369" s="140" t="e">
        <f t="shared" si="98"/>
        <v>#REF!</v>
      </c>
      <c r="G369" s="141"/>
    </row>
    <row r="370" spans="1:7" s="315" customFormat="1" ht="22.5" customHeight="1">
      <c r="A370" s="342">
        <f t="shared" si="99"/>
        <v>41.039999999999992</v>
      </c>
      <c r="B370" s="234" t="s">
        <v>896</v>
      </c>
      <c r="C370" s="139" t="e">
        <f>#REF!</f>
        <v>#REF!</v>
      </c>
      <c r="D370" s="139" t="s">
        <v>438</v>
      </c>
      <c r="E370" s="139" t="e">
        <f>#REF!</f>
        <v>#REF!</v>
      </c>
      <c r="F370" s="140" t="e">
        <f t="shared" si="98"/>
        <v>#REF!</v>
      </c>
      <c r="G370" s="141"/>
    </row>
    <row r="371" spans="1:7" s="315" customFormat="1" ht="21" customHeight="1">
      <c r="A371" s="342">
        <f t="shared" si="99"/>
        <v>41.04999999999999</v>
      </c>
      <c r="B371" s="241" t="s">
        <v>735</v>
      </c>
      <c r="C371" s="139" t="e">
        <f>+#REF!</f>
        <v>#REF!</v>
      </c>
      <c r="D371" s="139" t="s">
        <v>438</v>
      </c>
      <c r="E371" s="139" t="e">
        <f>#REF!</f>
        <v>#REF!</v>
      </c>
      <c r="F371" s="140" t="e">
        <f t="shared" si="98"/>
        <v>#REF!</v>
      </c>
      <c r="G371" s="141"/>
    </row>
    <row r="372" spans="1:7" s="315" customFormat="1" ht="20.25" customHeight="1">
      <c r="A372" s="342">
        <f t="shared" si="99"/>
        <v>41.059999999999988</v>
      </c>
      <c r="B372" s="234" t="s">
        <v>732</v>
      </c>
      <c r="C372" s="139" t="e">
        <f>+#REF!</f>
        <v>#REF!</v>
      </c>
      <c r="D372" s="139" t="s">
        <v>438</v>
      </c>
      <c r="E372" s="139" t="e">
        <f>$E$281</f>
        <v>#REF!</v>
      </c>
      <c r="F372" s="140" t="e">
        <f t="shared" si="98"/>
        <v>#REF!</v>
      </c>
      <c r="G372" s="141" t="e">
        <f>SUM(F367:F372)</f>
        <v>#REF!</v>
      </c>
    </row>
    <row r="373" spans="1:7" s="315" customFormat="1" ht="20.25" customHeight="1">
      <c r="A373" s="242">
        <v>42</v>
      </c>
      <c r="B373" s="343" t="s">
        <v>480</v>
      </c>
      <c r="C373" s="139"/>
      <c r="D373" s="139"/>
      <c r="E373" s="139"/>
      <c r="F373" s="140"/>
      <c r="G373" s="141"/>
    </row>
    <row r="374" spans="1:7" s="315" customFormat="1" ht="20.25" customHeight="1">
      <c r="A374" s="342">
        <f>A373+0.01</f>
        <v>42.01</v>
      </c>
      <c r="B374" s="235" t="s">
        <v>223</v>
      </c>
      <c r="C374" s="139" t="e">
        <f>+#REF!</f>
        <v>#REF!</v>
      </c>
      <c r="D374" s="139" t="s">
        <v>438</v>
      </c>
      <c r="E374" s="139">
        <f>'ana A1'!$F$55</f>
        <v>125.82370457166</v>
      </c>
      <c r="F374" s="140" t="e">
        <f t="shared" ref="F374:F379" si="100">ROUND(C374*E374,2)</f>
        <v>#REF!</v>
      </c>
      <c r="G374" s="141"/>
    </row>
    <row r="375" spans="1:7" s="315" customFormat="1" ht="20.25" customHeight="1">
      <c r="A375" s="342">
        <f t="shared" ref="A375:A379" si="101">A374+0.01</f>
        <v>42.019999999999996</v>
      </c>
      <c r="B375" s="235" t="s">
        <v>655</v>
      </c>
      <c r="C375" s="139" t="e">
        <f>+#REF!</f>
        <v>#REF!</v>
      </c>
      <c r="D375" s="139" t="s">
        <v>438</v>
      </c>
      <c r="E375" s="139" t="e">
        <f>#REF!</f>
        <v>#REF!</v>
      </c>
      <c r="F375" s="140" t="e">
        <f t="shared" si="100"/>
        <v>#REF!</v>
      </c>
      <c r="G375" s="141"/>
    </row>
    <row r="376" spans="1:7" s="315" customFormat="1" ht="20.25" customHeight="1">
      <c r="A376" s="342">
        <f t="shared" si="101"/>
        <v>42.029999999999994</v>
      </c>
      <c r="B376" s="235" t="s">
        <v>681</v>
      </c>
      <c r="C376" s="139" t="e">
        <f>+#REF!</f>
        <v>#REF!</v>
      </c>
      <c r="D376" s="139" t="s">
        <v>438</v>
      </c>
      <c r="E376" s="139" t="e">
        <f>#REF!</f>
        <v>#REF!</v>
      </c>
      <c r="F376" s="140" t="e">
        <f t="shared" si="100"/>
        <v>#REF!</v>
      </c>
      <c r="G376" s="141"/>
    </row>
    <row r="377" spans="1:7" s="315" customFormat="1" ht="20.25" customHeight="1">
      <c r="A377" s="342">
        <f t="shared" si="101"/>
        <v>42.039999999999992</v>
      </c>
      <c r="B377" s="235" t="s">
        <v>657</v>
      </c>
      <c r="C377" s="139" t="e">
        <f>+#REF!</f>
        <v>#REF!</v>
      </c>
      <c r="D377" s="139" t="s">
        <v>438</v>
      </c>
      <c r="E377" s="139" t="e">
        <f>#REF!</f>
        <v>#REF!</v>
      </c>
      <c r="F377" s="140" t="e">
        <f t="shared" si="100"/>
        <v>#REF!</v>
      </c>
      <c r="G377" s="141"/>
    </row>
    <row r="378" spans="1:7" s="315" customFormat="1" ht="20.25" customHeight="1">
      <c r="A378" s="342">
        <f t="shared" si="101"/>
        <v>42.04999999999999</v>
      </c>
      <c r="B378" s="232" t="s">
        <v>674</v>
      </c>
      <c r="C378" s="139" t="e">
        <f>+#REF!</f>
        <v>#REF!</v>
      </c>
      <c r="D378" s="139" t="s">
        <v>658</v>
      </c>
      <c r="E378" s="139" t="e">
        <f>#REF!</f>
        <v>#REF!</v>
      </c>
      <c r="F378" s="140" t="e">
        <f t="shared" si="100"/>
        <v>#REF!</v>
      </c>
      <c r="G378" s="141"/>
    </row>
    <row r="379" spans="1:7" s="315" customFormat="1" ht="20.25" customHeight="1">
      <c r="A379" s="342">
        <f t="shared" si="101"/>
        <v>42.059999999999988</v>
      </c>
      <c r="B379" s="235" t="s">
        <v>682</v>
      </c>
      <c r="C379" s="139" t="e">
        <f>+#REF!</f>
        <v>#REF!</v>
      </c>
      <c r="D379" s="139" t="s">
        <v>658</v>
      </c>
      <c r="E379" s="139" t="e">
        <f>#REF!</f>
        <v>#REF!</v>
      </c>
      <c r="F379" s="140" t="e">
        <f t="shared" si="100"/>
        <v>#REF!</v>
      </c>
      <c r="G379" s="141" t="e">
        <f>SUM(F374:F379)</f>
        <v>#REF!</v>
      </c>
    </row>
    <row r="380" spans="1:7" s="315" customFormat="1" ht="20.25" customHeight="1">
      <c r="A380" s="242">
        <v>43</v>
      </c>
      <c r="B380" s="343" t="s">
        <v>659</v>
      </c>
      <c r="C380" s="139"/>
      <c r="D380" s="139"/>
      <c r="E380" s="139"/>
      <c r="F380" s="140"/>
      <c r="G380" s="141"/>
    </row>
    <row r="381" spans="1:7" s="315" customFormat="1" ht="20.25" customHeight="1">
      <c r="A381" s="342">
        <f t="shared" ref="A381:A382" si="102">A380+0.01</f>
        <v>43.01</v>
      </c>
      <c r="B381" s="235" t="s">
        <v>922</v>
      </c>
      <c r="C381" s="139" t="e">
        <f>#REF!</f>
        <v>#REF!</v>
      </c>
      <c r="D381" s="139" t="s">
        <v>438</v>
      </c>
      <c r="E381" s="139">
        <v>1854.48</v>
      </c>
      <c r="F381" s="140" t="e">
        <f t="shared" ref="F381:F382" si="103">ROUND(C381*E381,2)</f>
        <v>#REF!</v>
      </c>
      <c r="G381" s="141"/>
    </row>
    <row r="382" spans="1:7" s="315" customFormat="1" ht="20.25" customHeight="1">
      <c r="A382" s="342">
        <f t="shared" si="102"/>
        <v>43.019999999999996</v>
      </c>
      <c r="B382" s="235" t="s">
        <v>919</v>
      </c>
      <c r="C382" s="139" t="e">
        <f>#REF!</f>
        <v>#REF!</v>
      </c>
      <c r="D382" s="139" t="s">
        <v>479</v>
      </c>
      <c r="E382" s="139">
        <v>240.02</v>
      </c>
      <c r="F382" s="140" t="e">
        <f t="shared" si="103"/>
        <v>#REF!</v>
      </c>
      <c r="G382" s="141" t="e">
        <f>SUM(F381:F382)</f>
        <v>#REF!</v>
      </c>
    </row>
    <row r="383" spans="1:7" s="315" customFormat="1" ht="20.25" customHeight="1">
      <c r="A383" s="242">
        <v>44</v>
      </c>
      <c r="B383" s="343" t="s">
        <v>683</v>
      </c>
      <c r="C383" s="139"/>
      <c r="D383" s="139"/>
      <c r="E383" s="139"/>
      <c r="F383" s="140"/>
      <c r="G383" s="141"/>
    </row>
    <row r="384" spans="1:7" s="315" customFormat="1" ht="33" customHeight="1">
      <c r="A384" s="342">
        <f t="shared" ref="A384:A388" si="104">A383+0.01</f>
        <v>44.01</v>
      </c>
      <c r="B384" s="398" t="s">
        <v>973</v>
      </c>
      <c r="C384" s="399">
        <f>1.2*0.6*4</f>
        <v>2.88</v>
      </c>
      <c r="D384" s="400" t="s">
        <v>438</v>
      </c>
      <c r="E384" s="139">
        <v>8814.1</v>
      </c>
      <c r="F384" s="140">
        <f>ROUND(C384*E384,2)</f>
        <v>25384.61</v>
      </c>
    </row>
    <row r="385" spans="1:7" s="315" customFormat="1" ht="33" customHeight="1">
      <c r="A385" s="342">
        <f t="shared" si="104"/>
        <v>44.019999999999996</v>
      </c>
      <c r="B385" s="398" t="s">
        <v>972</v>
      </c>
      <c r="C385" s="399">
        <f>2.4*0.6*4</f>
        <v>5.76</v>
      </c>
      <c r="D385" s="400" t="s">
        <v>438</v>
      </c>
      <c r="E385" s="139">
        <v>8814.1</v>
      </c>
      <c r="F385" s="140">
        <f>ROUND(C385*E385,2)</f>
        <v>50769.22</v>
      </c>
    </row>
    <row r="386" spans="1:7" s="315" customFormat="1" ht="33" customHeight="1">
      <c r="A386" s="342">
        <f t="shared" si="104"/>
        <v>44.029999999999994</v>
      </c>
      <c r="B386" s="398" t="s">
        <v>959</v>
      </c>
      <c r="C386" s="399">
        <v>2</v>
      </c>
      <c r="D386" s="400" t="s">
        <v>16</v>
      </c>
      <c r="E386" s="139">
        <v>10165.16</v>
      </c>
      <c r="F386" s="140">
        <f t="shared" ref="F386" si="105">ROUND(C386*E386,2)</f>
        <v>20330.32</v>
      </c>
      <c r="G386" s="141">
        <f>SUM(F384:F386)</f>
        <v>96484.15</v>
      </c>
    </row>
    <row r="387" spans="1:7" s="315" customFormat="1" ht="20.25" customHeight="1">
      <c r="A387" s="242">
        <v>45</v>
      </c>
      <c r="B387" s="343" t="s">
        <v>662</v>
      </c>
      <c r="C387" s="139"/>
      <c r="D387" s="139"/>
      <c r="E387" s="139"/>
      <c r="F387" s="140"/>
      <c r="G387" s="141"/>
    </row>
    <row r="388" spans="1:7" s="315" customFormat="1" ht="31.5" customHeight="1">
      <c r="A388" s="342">
        <f t="shared" si="104"/>
        <v>45.01</v>
      </c>
      <c r="B388" s="398" t="s">
        <v>957</v>
      </c>
      <c r="C388" s="399">
        <v>1</v>
      </c>
      <c r="D388" s="400" t="s">
        <v>16</v>
      </c>
      <c r="E388" s="139">
        <v>30000</v>
      </c>
      <c r="F388" s="140">
        <f t="shared" ref="F388" si="106">ROUND(C388*E388,2)</f>
        <v>30000</v>
      </c>
      <c r="G388" s="141">
        <f>SUM(F388:F388)</f>
        <v>30000</v>
      </c>
    </row>
    <row r="389" spans="1:7" s="315" customFormat="1" ht="20.25" customHeight="1">
      <c r="A389" s="242">
        <v>46</v>
      </c>
      <c r="B389" s="343" t="s">
        <v>481</v>
      </c>
      <c r="C389" s="139"/>
      <c r="D389" s="139"/>
      <c r="E389" s="139"/>
      <c r="F389" s="140"/>
      <c r="G389" s="141"/>
    </row>
    <row r="390" spans="1:7" s="315" customFormat="1" ht="20.25" customHeight="1">
      <c r="A390" s="342">
        <f t="shared" ref="A390:A394" si="107">A389+0.01</f>
        <v>46.01</v>
      </c>
      <c r="B390" s="235" t="s">
        <v>684</v>
      </c>
      <c r="C390" s="139" t="e">
        <f>+#REF!</f>
        <v>#REF!</v>
      </c>
      <c r="D390" s="139" t="s">
        <v>39</v>
      </c>
      <c r="E390" s="139" t="e">
        <f>#REF!</f>
        <v>#REF!</v>
      </c>
      <c r="F390" s="140" t="e">
        <f t="shared" ref="F390:F394" si="108">ROUND(C390*E390,2)</f>
        <v>#REF!</v>
      </c>
      <c r="G390" s="141"/>
    </row>
    <row r="391" spans="1:7" s="315" customFormat="1" ht="20.25" customHeight="1">
      <c r="A391" s="342">
        <f t="shared" si="107"/>
        <v>46.019999999999996</v>
      </c>
      <c r="B391" s="235" t="s">
        <v>675</v>
      </c>
      <c r="C391" s="139" t="e">
        <f>+#REF!</f>
        <v>#REF!</v>
      </c>
      <c r="D391" s="139" t="s">
        <v>39</v>
      </c>
      <c r="E391" s="139" t="e">
        <f>#REF!</f>
        <v>#REF!</v>
      </c>
      <c r="F391" s="140" t="e">
        <f t="shared" si="108"/>
        <v>#REF!</v>
      </c>
      <c r="G391" s="141"/>
    </row>
    <row r="392" spans="1:7" s="315" customFormat="1" ht="20.25" customHeight="1">
      <c r="A392" s="342">
        <f t="shared" si="107"/>
        <v>46.029999999999994</v>
      </c>
      <c r="B392" s="235" t="s">
        <v>666</v>
      </c>
      <c r="C392" s="139" t="e">
        <f>+#REF!</f>
        <v>#REF!</v>
      </c>
      <c r="D392" s="139" t="s">
        <v>39</v>
      </c>
      <c r="E392" s="139" t="e">
        <f>#REF!</f>
        <v>#REF!</v>
      </c>
      <c r="F392" s="140" t="e">
        <f t="shared" si="108"/>
        <v>#REF!</v>
      </c>
      <c r="G392" s="141"/>
    </row>
    <row r="393" spans="1:7" s="315" customFormat="1" ht="20.25" customHeight="1">
      <c r="A393" s="342">
        <f t="shared" si="107"/>
        <v>46.039999999999992</v>
      </c>
      <c r="B393" s="235" t="s">
        <v>667</v>
      </c>
      <c r="C393" s="139" t="e">
        <f>+#REF!</f>
        <v>#REF!</v>
      </c>
      <c r="D393" s="139" t="s">
        <v>39</v>
      </c>
      <c r="E393" s="139" t="e">
        <f>#REF!</f>
        <v>#REF!</v>
      </c>
      <c r="F393" s="140" t="e">
        <f t="shared" si="108"/>
        <v>#REF!</v>
      </c>
      <c r="G393" s="141"/>
    </row>
    <row r="394" spans="1:7" s="315" customFormat="1" ht="20.25" customHeight="1">
      <c r="A394" s="342">
        <f t="shared" si="107"/>
        <v>46.04999999999999</v>
      </c>
      <c r="B394" s="235" t="s">
        <v>668</v>
      </c>
      <c r="C394" s="139" t="e">
        <f>+#REF!</f>
        <v>#REF!</v>
      </c>
      <c r="D394" s="139" t="s">
        <v>39</v>
      </c>
      <c r="E394" s="139" t="e">
        <f>#REF!</f>
        <v>#REF!</v>
      </c>
      <c r="F394" s="140" t="e">
        <f t="shared" si="108"/>
        <v>#REF!</v>
      </c>
      <c r="G394" s="141" t="e">
        <f>SUM(F390:F394)</f>
        <v>#REF!</v>
      </c>
    </row>
    <row r="395" spans="1:7" customFormat="1" ht="20.25" customHeight="1">
      <c r="A395" s="361">
        <v>47</v>
      </c>
      <c r="B395" s="357" t="s">
        <v>736</v>
      </c>
      <c r="C395" s="358"/>
      <c r="D395" s="359" t="s">
        <v>477</v>
      </c>
      <c r="E395" s="359"/>
      <c r="F395" s="359"/>
      <c r="G395" s="362"/>
    </row>
    <row r="396" spans="1:7" customFormat="1" ht="20.25" customHeight="1">
      <c r="A396" s="342">
        <f t="shared" ref="A396:A403" si="109">A395+0.01</f>
        <v>47.01</v>
      </c>
      <c r="B396" s="235" t="s">
        <v>737</v>
      </c>
      <c r="C396" s="139" t="e">
        <f>+#REF!</f>
        <v>#REF!</v>
      </c>
      <c r="D396" s="139" t="s">
        <v>39</v>
      </c>
      <c r="E396" s="139" t="e">
        <f>#REF!</f>
        <v>#REF!</v>
      </c>
      <c r="F396" s="140" t="e">
        <f>ROUND(C396*E396,2)</f>
        <v>#REF!</v>
      </c>
      <c r="G396" s="141"/>
    </row>
    <row r="397" spans="1:7" customFormat="1" ht="20.25" customHeight="1">
      <c r="A397" s="342">
        <f t="shared" si="109"/>
        <v>47.019999999999996</v>
      </c>
      <c r="B397" s="235" t="s">
        <v>738</v>
      </c>
      <c r="C397" s="139" t="e">
        <f>+#REF!</f>
        <v>#REF!</v>
      </c>
      <c r="D397" s="139" t="s">
        <v>658</v>
      </c>
      <c r="E397" s="139" t="e">
        <f>#REF!</f>
        <v>#REF!</v>
      </c>
      <c r="F397" s="140" t="e">
        <f t="shared" ref="F397:F398" si="110">ROUND(C397*E397,2)</f>
        <v>#REF!</v>
      </c>
      <c r="G397" s="141"/>
    </row>
    <row r="398" spans="1:7" customFormat="1" ht="19.5" customHeight="1">
      <c r="A398" s="342">
        <f t="shared" si="109"/>
        <v>47.029999999999994</v>
      </c>
      <c r="B398" s="235" t="s">
        <v>740</v>
      </c>
      <c r="C398" s="139" t="e">
        <f>+#REF!</f>
        <v>#REF!</v>
      </c>
      <c r="D398" s="139" t="s">
        <v>39</v>
      </c>
      <c r="E398" s="139" t="e">
        <f>#REF!</f>
        <v>#REF!</v>
      </c>
      <c r="F398" s="140" t="e">
        <f t="shared" si="110"/>
        <v>#REF!</v>
      </c>
      <c r="G398" s="141"/>
    </row>
    <row r="399" spans="1:7" customFormat="1" ht="33.75" customHeight="1">
      <c r="A399" s="342">
        <f t="shared" si="109"/>
        <v>47.039999999999992</v>
      </c>
      <c r="B399" s="241" t="s">
        <v>739</v>
      </c>
      <c r="C399" s="139" t="e">
        <f>#REF!</f>
        <v>#REF!</v>
      </c>
      <c r="D399" s="139" t="s">
        <v>39</v>
      </c>
      <c r="E399" s="139">
        <f>$E$335+16.5</f>
        <v>715.69</v>
      </c>
      <c r="F399" s="140" t="e">
        <f>ROUND(C399*E399,2)</f>
        <v>#REF!</v>
      </c>
      <c r="G399" s="141" t="e">
        <f>SUM(F396:F399)</f>
        <v>#REF!</v>
      </c>
    </row>
    <row r="400" spans="1:7" s="315" customFormat="1" ht="20.25" customHeight="1">
      <c r="A400" s="344">
        <v>48</v>
      </c>
      <c r="B400" s="345" t="s">
        <v>669</v>
      </c>
      <c r="C400" s="240"/>
      <c r="D400" s="240"/>
      <c r="E400" s="139"/>
      <c r="F400" s="140"/>
      <c r="G400" s="141"/>
    </row>
    <row r="401" spans="1:8" s="315" customFormat="1" ht="20.25" customHeight="1">
      <c r="A401" s="363">
        <f t="shared" si="109"/>
        <v>48.01</v>
      </c>
      <c r="B401" s="234" t="s">
        <v>721</v>
      </c>
      <c r="C401" s="139" t="e">
        <f>#REF!</f>
        <v>#REF!</v>
      </c>
      <c r="D401" s="139" t="s">
        <v>479</v>
      </c>
      <c r="E401" s="139">
        <f>E236</f>
        <v>60</v>
      </c>
      <c r="F401" s="140" t="e">
        <f t="shared" ref="F401:F404" si="111">ROUND(C401*E401,2)</f>
        <v>#REF!</v>
      </c>
      <c r="G401" s="141"/>
    </row>
    <row r="402" spans="1:8" s="315" customFormat="1" ht="20.25" customHeight="1">
      <c r="A402" s="342">
        <f t="shared" si="109"/>
        <v>48.019999999999996</v>
      </c>
      <c r="B402" s="234" t="s">
        <v>926</v>
      </c>
      <c r="C402" s="139" t="e">
        <f>C401*2</f>
        <v>#REF!</v>
      </c>
      <c r="D402" s="139" t="s">
        <v>479</v>
      </c>
      <c r="E402" s="139">
        <v>110.64</v>
      </c>
      <c r="F402" s="140" t="e">
        <f t="shared" si="111"/>
        <v>#REF!</v>
      </c>
      <c r="G402" s="141"/>
      <c r="H402" s="397"/>
    </row>
    <row r="403" spans="1:8" s="315" customFormat="1" ht="31.5" customHeight="1">
      <c r="A403" s="229">
        <f t="shared" si="109"/>
        <v>48.029999999999994</v>
      </c>
      <c r="B403" s="234" t="s">
        <v>1000</v>
      </c>
      <c r="C403" s="139">
        <v>1</v>
      </c>
      <c r="D403" s="139" t="s">
        <v>2</v>
      </c>
      <c r="E403" s="139">
        <v>29011.75</v>
      </c>
      <c r="F403" s="140">
        <f t="shared" si="111"/>
        <v>29011.75</v>
      </c>
      <c r="G403" s="141"/>
      <c r="H403" s="397"/>
    </row>
    <row r="404" spans="1:8" s="315" customFormat="1" ht="20.25" customHeight="1">
      <c r="A404" s="342">
        <f t="shared" ref="A404" si="112">A401+0.01</f>
        <v>48.019999999999996</v>
      </c>
      <c r="B404" s="234" t="s">
        <v>760</v>
      </c>
      <c r="C404" s="139">
        <v>20</v>
      </c>
      <c r="D404" s="139" t="s">
        <v>39</v>
      </c>
      <c r="E404" s="139">
        <f>E346</f>
        <v>3339.29</v>
      </c>
      <c r="F404" s="140">
        <f t="shared" si="111"/>
        <v>66785.8</v>
      </c>
      <c r="G404" s="141" t="e">
        <f>SUM(F401:F404)</f>
        <v>#REF!</v>
      </c>
    </row>
    <row r="405" spans="1:8" s="315" customFormat="1" ht="20.25" customHeight="1">
      <c r="A405" s="342"/>
      <c r="B405" s="234"/>
      <c r="C405" s="139"/>
      <c r="D405" s="139"/>
      <c r="E405" s="139"/>
      <c r="F405" s="140"/>
      <c r="G405" s="141"/>
    </row>
    <row r="406" spans="1:8" s="315" customFormat="1" ht="20.25" customHeight="1">
      <c r="A406" s="342"/>
      <c r="B406" s="234"/>
      <c r="C406" s="139"/>
      <c r="D406" s="139"/>
      <c r="E406" s="139"/>
      <c r="F406" s="140"/>
      <c r="G406" s="141"/>
    </row>
    <row r="407" spans="1:8" s="315" customFormat="1" ht="20.25" customHeight="1">
      <c r="A407" s="242">
        <v>49</v>
      </c>
      <c r="B407" s="343" t="s">
        <v>686</v>
      </c>
      <c r="C407" s="139"/>
      <c r="D407" s="139"/>
      <c r="E407" s="139"/>
      <c r="F407" s="140"/>
      <c r="G407" s="141"/>
    </row>
    <row r="408" spans="1:8" s="315" customFormat="1" ht="20.25" customHeight="1">
      <c r="A408" s="237"/>
      <c r="B408" s="243" t="s">
        <v>687</v>
      </c>
      <c r="C408" s="140"/>
      <c r="D408" s="140"/>
      <c r="E408" s="139"/>
      <c r="F408" s="140"/>
      <c r="G408" s="141"/>
    </row>
    <row r="409" spans="1:8" s="315" customFormat="1" ht="24" customHeight="1">
      <c r="A409" s="409"/>
      <c r="B409" s="345" t="s">
        <v>1044</v>
      </c>
      <c r="C409" s="140"/>
      <c r="D409" s="140"/>
      <c r="E409" s="139"/>
      <c r="F409" s="140"/>
      <c r="G409" s="141"/>
    </row>
    <row r="410" spans="1:8" s="315" customFormat="1" ht="21.75" customHeight="1">
      <c r="A410" s="342">
        <f>A407+0.01</f>
        <v>49.01</v>
      </c>
      <c r="B410" s="354" t="s">
        <v>1045</v>
      </c>
      <c r="C410" s="140">
        <v>1</v>
      </c>
      <c r="D410" s="140" t="s">
        <v>1046</v>
      </c>
      <c r="E410" s="139">
        <v>5300</v>
      </c>
      <c r="F410" s="140">
        <f t="shared" ref="F410" si="113">ROUND(C410*E410,2)</f>
        <v>5300</v>
      </c>
      <c r="G410" s="141"/>
    </row>
    <row r="411" spans="1:8" s="315" customFormat="1" ht="19.5" customHeight="1">
      <c r="A411" s="353"/>
      <c r="B411" s="354"/>
      <c r="C411" s="140"/>
      <c r="D411" s="140"/>
      <c r="E411" s="139"/>
      <c r="F411" s="140"/>
      <c r="G411" s="141"/>
    </row>
    <row r="412" spans="1:8" s="315" customFormat="1" ht="17.25" customHeight="1">
      <c r="A412" s="410"/>
      <c r="B412" s="346" t="s">
        <v>686</v>
      </c>
      <c r="C412" s="140"/>
      <c r="D412" s="140"/>
      <c r="E412" s="139"/>
      <c r="F412" s="140"/>
      <c r="G412" s="141"/>
    </row>
    <row r="413" spans="1:8" s="315" customFormat="1" ht="61.5" customHeight="1">
      <c r="A413" s="353">
        <f>A410+0.01</f>
        <v>49.019999999999996</v>
      </c>
      <c r="B413" s="411" t="s">
        <v>1048</v>
      </c>
      <c r="C413" s="140">
        <v>1</v>
      </c>
      <c r="D413" s="140" t="s">
        <v>16</v>
      </c>
      <c r="E413" s="139">
        <v>8752.5999999999985</v>
      </c>
      <c r="F413" s="140">
        <f t="shared" ref="F413:F441" si="114">ROUND(C413*E413,2)</f>
        <v>8752.6</v>
      </c>
      <c r="G413" s="141"/>
    </row>
    <row r="414" spans="1:8" s="315" customFormat="1" ht="65.25" customHeight="1">
      <c r="A414" s="353">
        <f t="shared" ref="A414:A441" si="115">A413+0.01</f>
        <v>49.029999999999994</v>
      </c>
      <c r="B414" s="411" t="s">
        <v>1084</v>
      </c>
      <c r="C414" s="140">
        <v>16</v>
      </c>
      <c r="D414" s="140" t="s">
        <v>16</v>
      </c>
      <c r="E414" s="139">
        <v>5478.23</v>
      </c>
      <c r="F414" s="140">
        <f t="shared" si="114"/>
        <v>87651.68</v>
      </c>
      <c r="G414" s="141"/>
    </row>
    <row r="415" spans="1:8" s="315" customFormat="1" ht="63.75" customHeight="1">
      <c r="A415" s="353">
        <f t="shared" si="115"/>
        <v>49.039999999999992</v>
      </c>
      <c r="B415" s="412" t="s">
        <v>1050</v>
      </c>
      <c r="C415" s="140">
        <v>16</v>
      </c>
      <c r="D415" s="140" t="s">
        <v>16</v>
      </c>
      <c r="E415" s="139">
        <v>63645.984999999986</v>
      </c>
      <c r="F415" s="140">
        <f t="shared" si="114"/>
        <v>1018335.76</v>
      </c>
      <c r="G415" s="141"/>
    </row>
    <row r="416" spans="1:8" s="315" customFormat="1" ht="48.75" customHeight="1">
      <c r="A416" s="353">
        <f t="shared" si="115"/>
        <v>49.04999999999999</v>
      </c>
      <c r="B416" s="413" t="s">
        <v>1051</v>
      </c>
      <c r="C416" s="140">
        <v>1</v>
      </c>
      <c r="D416" s="140" t="s">
        <v>16</v>
      </c>
      <c r="E416" s="139">
        <v>21682.620000000006</v>
      </c>
      <c r="F416" s="140">
        <f t="shared" si="114"/>
        <v>21682.62</v>
      </c>
      <c r="G416" s="141"/>
    </row>
    <row r="417" spans="1:7" s="315" customFormat="1" ht="48" customHeight="1">
      <c r="A417" s="353">
        <f t="shared" si="115"/>
        <v>49.059999999999988</v>
      </c>
      <c r="B417" s="413" t="s">
        <v>1085</v>
      </c>
      <c r="C417" s="140">
        <v>16</v>
      </c>
      <c r="D417" s="140" t="s">
        <v>690</v>
      </c>
      <c r="E417" s="139">
        <v>6410.5450500000006</v>
      </c>
      <c r="F417" s="140">
        <f t="shared" si="114"/>
        <v>102568.72</v>
      </c>
      <c r="G417" s="141"/>
    </row>
    <row r="418" spans="1:7" s="315" customFormat="1" ht="48.75" customHeight="1">
      <c r="A418" s="353">
        <f t="shared" si="115"/>
        <v>49.069999999999986</v>
      </c>
      <c r="B418" s="413" t="s">
        <v>1053</v>
      </c>
      <c r="C418" s="140">
        <v>8</v>
      </c>
      <c r="D418" s="140" t="s">
        <v>16</v>
      </c>
      <c r="E418" s="139">
        <v>1779.56</v>
      </c>
      <c r="F418" s="140">
        <f t="shared" si="114"/>
        <v>14236.48</v>
      </c>
      <c r="G418" s="141"/>
    </row>
    <row r="419" spans="1:7" s="315" customFormat="1" ht="47.25" customHeight="1">
      <c r="A419" s="353">
        <f t="shared" si="115"/>
        <v>49.079999999999984</v>
      </c>
      <c r="B419" s="413" t="s">
        <v>1086</v>
      </c>
      <c r="C419" s="140">
        <v>24</v>
      </c>
      <c r="D419" s="140" t="s">
        <v>16</v>
      </c>
      <c r="E419" s="139">
        <v>2382.09</v>
      </c>
      <c r="F419" s="140">
        <f t="shared" si="114"/>
        <v>57170.16</v>
      </c>
      <c r="G419" s="141"/>
    </row>
    <row r="420" spans="1:7" s="315" customFormat="1" ht="45" customHeight="1">
      <c r="A420" s="353">
        <f t="shared" si="115"/>
        <v>49.089999999999982</v>
      </c>
      <c r="B420" s="414" t="s">
        <v>1055</v>
      </c>
      <c r="C420" s="140">
        <v>1</v>
      </c>
      <c r="D420" s="140" t="s">
        <v>16</v>
      </c>
      <c r="E420" s="139">
        <v>1917.17</v>
      </c>
      <c r="F420" s="140">
        <f t="shared" si="114"/>
        <v>1917.17</v>
      </c>
      <c r="G420" s="141"/>
    </row>
    <row r="421" spans="1:7" s="315" customFormat="1" ht="50.25" customHeight="1">
      <c r="A421" s="353">
        <f t="shared" si="115"/>
        <v>49.09999999999998</v>
      </c>
      <c r="B421" s="414" t="s">
        <v>1056</v>
      </c>
      <c r="C421" s="140">
        <v>32</v>
      </c>
      <c r="D421" s="140" t="s">
        <v>16</v>
      </c>
      <c r="E421" s="139">
        <v>8300</v>
      </c>
      <c r="F421" s="140">
        <f t="shared" si="114"/>
        <v>265600</v>
      </c>
      <c r="G421" s="141"/>
    </row>
    <row r="422" spans="1:7" s="315" customFormat="1" ht="64.5" customHeight="1">
      <c r="A422" s="353">
        <f t="shared" si="115"/>
        <v>49.109999999999978</v>
      </c>
      <c r="B422" s="411" t="s">
        <v>1057</v>
      </c>
      <c r="C422" s="140">
        <v>2</v>
      </c>
      <c r="D422" s="140" t="s">
        <v>16</v>
      </c>
      <c r="E422" s="139">
        <v>9480.14</v>
      </c>
      <c r="F422" s="140">
        <f t="shared" si="114"/>
        <v>18960.28</v>
      </c>
      <c r="G422" s="141"/>
    </row>
    <row r="423" spans="1:7" s="315" customFormat="1" ht="38.25" customHeight="1">
      <c r="A423" s="353">
        <f t="shared" si="115"/>
        <v>49.119999999999976</v>
      </c>
      <c r="B423" s="411" t="s">
        <v>1058</v>
      </c>
      <c r="C423" s="140">
        <v>1</v>
      </c>
      <c r="D423" s="140" t="s">
        <v>16</v>
      </c>
      <c r="E423" s="139">
        <v>7915.25</v>
      </c>
      <c r="F423" s="140">
        <f t="shared" si="114"/>
        <v>7915.25</v>
      </c>
      <c r="G423" s="141"/>
    </row>
    <row r="424" spans="1:7" s="315" customFormat="1" ht="50.25" customHeight="1">
      <c r="A424" s="353">
        <f t="shared" si="115"/>
        <v>49.129999999999974</v>
      </c>
      <c r="B424" s="411" t="s">
        <v>1059</v>
      </c>
      <c r="C424" s="140">
        <v>1</v>
      </c>
      <c r="D424" s="140" t="s">
        <v>16</v>
      </c>
      <c r="E424" s="139">
        <v>22772.53</v>
      </c>
      <c r="F424" s="140">
        <f t="shared" si="114"/>
        <v>22772.53</v>
      </c>
      <c r="G424" s="141"/>
    </row>
    <row r="425" spans="1:7" s="315" customFormat="1" ht="60.75" customHeight="1">
      <c r="A425" s="353">
        <f t="shared" si="115"/>
        <v>49.139999999999972</v>
      </c>
      <c r="B425" s="413" t="s">
        <v>1060</v>
      </c>
      <c r="C425" s="140">
        <v>17</v>
      </c>
      <c r="D425" s="140" t="s">
        <v>16</v>
      </c>
      <c r="E425" s="139">
        <v>3329.9400000000005</v>
      </c>
      <c r="F425" s="140">
        <f t="shared" si="114"/>
        <v>56608.98</v>
      </c>
      <c r="G425" s="141"/>
    </row>
    <row r="426" spans="1:7" s="315" customFormat="1" ht="63" customHeight="1">
      <c r="A426" s="353">
        <f t="shared" si="115"/>
        <v>49.14999999999997</v>
      </c>
      <c r="B426" s="413" t="s">
        <v>1061</v>
      </c>
      <c r="C426" s="140">
        <v>17</v>
      </c>
      <c r="D426" s="140" t="s">
        <v>16</v>
      </c>
      <c r="E426" s="139">
        <v>3961.63</v>
      </c>
      <c r="F426" s="140">
        <f t="shared" si="114"/>
        <v>67347.710000000006</v>
      </c>
      <c r="G426" s="141"/>
    </row>
    <row r="427" spans="1:7" s="315" customFormat="1" ht="45.75" customHeight="1">
      <c r="A427" s="353">
        <f t="shared" si="115"/>
        <v>49.159999999999968</v>
      </c>
      <c r="B427" s="413" t="s">
        <v>1062</v>
      </c>
      <c r="C427" s="140">
        <v>33</v>
      </c>
      <c r="D427" s="140" t="s">
        <v>16</v>
      </c>
      <c r="E427" s="139">
        <v>1608.5100000000002</v>
      </c>
      <c r="F427" s="140">
        <f t="shared" si="114"/>
        <v>53080.83</v>
      </c>
      <c r="G427" s="141"/>
    </row>
    <row r="428" spans="1:7" s="315" customFormat="1" ht="32.25" customHeight="1">
      <c r="A428" s="353">
        <f t="shared" si="115"/>
        <v>49.169999999999966</v>
      </c>
      <c r="B428" s="411" t="s">
        <v>1079</v>
      </c>
      <c r="C428" s="140">
        <v>1</v>
      </c>
      <c r="D428" s="140" t="s">
        <v>16</v>
      </c>
      <c r="E428" s="139">
        <v>1596.1</v>
      </c>
      <c r="F428" s="140">
        <f t="shared" si="114"/>
        <v>1596.1</v>
      </c>
      <c r="G428" s="141"/>
    </row>
    <row r="429" spans="1:7" s="315" customFormat="1" ht="37.5" customHeight="1">
      <c r="A429" s="353">
        <f t="shared" si="115"/>
        <v>49.179999999999964</v>
      </c>
      <c r="B429" s="411" t="s">
        <v>1087</v>
      </c>
      <c r="C429" s="140">
        <v>12</v>
      </c>
      <c r="D429" s="140" t="s">
        <v>16</v>
      </c>
      <c r="E429" s="139">
        <v>4062.51</v>
      </c>
      <c r="F429" s="140">
        <f t="shared" si="114"/>
        <v>48750.12</v>
      </c>
      <c r="G429" s="141"/>
    </row>
    <row r="430" spans="1:7" s="315" customFormat="1" ht="64.5" customHeight="1">
      <c r="A430" s="353">
        <f t="shared" si="115"/>
        <v>49.189999999999962</v>
      </c>
      <c r="B430" s="411" t="s">
        <v>1047</v>
      </c>
      <c r="C430" s="140">
        <v>1</v>
      </c>
      <c r="D430" s="140" t="s">
        <v>16</v>
      </c>
      <c r="E430" s="139">
        <v>14792.85</v>
      </c>
      <c r="F430" s="140">
        <f t="shared" si="114"/>
        <v>14792.85</v>
      </c>
      <c r="G430" s="141"/>
    </row>
    <row r="431" spans="1:7" s="315" customFormat="1" ht="38.25" customHeight="1">
      <c r="A431" s="353">
        <f t="shared" si="115"/>
        <v>49.19999999999996</v>
      </c>
      <c r="B431" s="414" t="s">
        <v>1088</v>
      </c>
      <c r="C431" s="140">
        <v>1</v>
      </c>
      <c r="D431" s="140" t="s">
        <v>16</v>
      </c>
      <c r="E431" s="139">
        <v>3616.27</v>
      </c>
      <c r="F431" s="140">
        <f t="shared" si="114"/>
        <v>3616.27</v>
      </c>
      <c r="G431" s="141"/>
    </row>
    <row r="432" spans="1:7" s="315" customFormat="1" ht="37.5" customHeight="1">
      <c r="A432" s="353">
        <f t="shared" si="115"/>
        <v>49.209999999999958</v>
      </c>
      <c r="B432" s="414" t="s">
        <v>1065</v>
      </c>
      <c r="C432" s="140">
        <v>8</v>
      </c>
      <c r="D432" s="140" t="s">
        <v>16</v>
      </c>
      <c r="E432" s="139">
        <v>5474.2199999999993</v>
      </c>
      <c r="F432" s="140">
        <f t="shared" si="114"/>
        <v>43793.760000000002</v>
      </c>
      <c r="G432" s="141"/>
    </row>
    <row r="433" spans="1:7" s="315" customFormat="1" ht="48.75" customHeight="1">
      <c r="A433" s="353">
        <f t="shared" si="115"/>
        <v>49.219999999999956</v>
      </c>
      <c r="B433" s="414" t="s">
        <v>1083</v>
      </c>
      <c r="C433" s="140">
        <v>13</v>
      </c>
      <c r="D433" s="140" t="s">
        <v>16</v>
      </c>
      <c r="E433" s="139">
        <v>5474.2199999999993</v>
      </c>
      <c r="F433" s="140">
        <f t="shared" si="114"/>
        <v>71164.86</v>
      </c>
      <c r="G433" s="141"/>
    </row>
    <row r="434" spans="1:7" s="315" customFormat="1" ht="53.25" customHeight="1">
      <c r="A434" s="353">
        <f t="shared" si="115"/>
        <v>49.229999999999954</v>
      </c>
      <c r="B434" s="414" t="s">
        <v>1066</v>
      </c>
      <c r="C434" s="140">
        <v>13</v>
      </c>
      <c r="D434" s="140" t="s">
        <v>16</v>
      </c>
      <c r="E434" s="139">
        <v>5306.12</v>
      </c>
      <c r="F434" s="140">
        <f t="shared" si="114"/>
        <v>68979.56</v>
      </c>
      <c r="G434" s="141"/>
    </row>
    <row r="435" spans="1:7" s="315" customFormat="1" ht="49.5" customHeight="1">
      <c r="A435" s="353">
        <f t="shared" si="115"/>
        <v>49.239999999999952</v>
      </c>
      <c r="B435" s="414" t="s">
        <v>1089</v>
      </c>
      <c r="C435" s="140">
        <v>172.851</v>
      </c>
      <c r="D435" s="140" t="s">
        <v>688</v>
      </c>
      <c r="E435" s="139">
        <v>1553.7760000000001</v>
      </c>
      <c r="F435" s="140">
        <f t="shared" si="114"/>
        <v>268571.74</v>
      </c>
      <c r="G435" s="141"/>
    </row>
    <row r="436" spans="1:7" s="315" customFormat="1" ht="50.25" customHeight="1">
      <c r="A436" s="353">
        <f t="shared" si="115"/>
        <v>49.24999999999995</v>
      </c>
      <c r="B436" s="414" t="s">
        <v>1090</v>
      </c>
      <c r="C436" s="140">
        <v>19.32</v>
      </c>
      <c r="D436" s="140" t="s">
        <v>688</v>
      </c>
      <c r="E436" s="139">
        <v>1187.9249999999997</v>
      </c>
      <c r="F436" s="140">
        <f t="shared" si="114"/>
        <v>22950.71</v>
      </c>
      <c r="G436" s="141"/>
    </row>
    <row r="437" spans="1:7" s="315" customFormat="1" ht="44.25" customHeight="1">
      <c r="A437" s="353">
        <f t="shared" si="115"/>
        <v>49.259999999999948</v>
      </c>
      <c r="B437" s="414" t="s">
        <v>1091</v>
      </c>
      <c r="C437" s="140">
        <v>6.5309999999999997</v>
      </c>
      <c r="D437" s="140" t="s">
        <v>688</v>
      </c>
      <c r="E437" s="139">
        <v>403.05</v>
      </c>
      <c r="F437" s="140">
        <f t="shared" si="114"/>
        <v>2632.32</v>
      </c>
      <c r="G437" s="141"/>
    </row>
    <row r="438" spans="1:7" s="315" customFormat="1" ht="44.25" customHeight="1">
      <c r="A438" s="353">
        <f t="shared" si="115"/>
        <v>49.269999999999946</v>
      </c>
      <c r="B438" s="414" t="s">
        <v>1092</v>
      </c>
      <c r="C438" s="140">
        <v>10.290000000000001</v>
      </c>
      <c r="D438" s="140" t="s">
        <v>688</v>
      </c>
      <c r="E438" s="139">
        <v>474.73</v>
      </c>
      <c r="F438" s="140">
        <f t="shared" si="114"/>
        <v>4884.97</v>
      </c>
      <c r="G438" s="141"/>
    </row>
    <row r="439" spans="1:7" s="315" customFormat="1" ht="44.25" customHeight="1">
      <c r="A439" s="353">
        <f t="shared" si="115"/>
        <v>49.279999999999944</v>
      </c>
      <c r="B439" s="414" t="s">
        <v>1093</v>
      </c>
      <c r="C439" s="140">
        <v>39.480000000000004</v>
      </c>
      <c r="D439" s="140" t="s">
        <v>688</v>
      </c>
      <c r="E439" s="139">
        <v>868.29</v>
      </c>
      <c r="F439" s="140">
        <f t="shared" si="114"/>
        <v>34280.089999999997</v>
      </c>
      <c r="G439" s="141"/>
    </row>
    <row r="440" spans="1:7" s="315" customFormat="1" ht="44.25" customHeight="1">
      <c r="A440" s="353">
        <f t="shared" si="115"/>
        <v>49.289999999999942</v>
      </c>
      <c r="B440" s="414" t="s">
        <v>1094</v>
      </c>
      <c r="C440" s="140">
        <v>40.572000000000003</v>
      </c>
      <c r="D440" s="140" t="s">
        <v>688</v>
      </c>
      <c r="E440" s="139">
        <v>1836.22</v>
      </c>
      <c r="F440" s="140">
        <f t="shared" si="114"/>
        <v>74499.12</v>
      </c>
      <c r="G440" s="141"/>
    </row>
    <row r="441" spans="1:7" s="315" customFormat="1" ht="44.25" customHeight="1">
      <c r="A441" s="353">
        <f t="shared" si="115"/>
        <v>49.29999999999994</v>
      </c>
      <c r="B441" s="414" t="s">
        <v>1075</v>
      </c>
      <c r="C441" s="140">
        <v>8</v>
      </c>
      <c r="D441" s="140" t="s">
        <v>16</v>
      </c>
      <c r="E441" s="139">
        <v>4613.51</v>
      </c>
      <c r="F441" s="140">
        <f t="shared" si="114"/>
        <v>36908.080000000002</v>
      </c>
      <c r="G441" s="141"/>
    </row>
    <row r="442" spans="1:7" s="315" customFormat="1" ht="21.75" customHeight="1">
      <c r="A442" s="353"/>
      <c r="B442" s="354"/>
      <c r="C442" s="140"/>
      <c r="D442" s="140"/>
      <c r="E442" s="139"/>
      <c r="F442" s="140"/>
      <c r="G442" s="141"/>
    </row>
    <row r="443" spans="1:7" s="315" customFormat="1" ht="25.5" customHeight="1">
      <c r="A443" s="353"/>
      <c r="B443" s="243" t="s">
        <v>689</v>
      </c>
      <c r="C443" s="140"/>
      <c r="D443" s="140"/>
      <c r="E443" s="139"/>
      <c r="F443" s="140"/>
      <c r="G443" s="141"/>
    </row>
    <row r="444" spans="1:7" s="315" customFormat="1" ht="25.5" customHeight="1">
      <c r="A444" s="409"/>
      <c r="B444" s="345" t="s">
        <v>1044</v>
      </c>
      <c r="C444" s="140"/>
      <c r="D444" s="140"/>
      <c r="E444" s="139"/>
      <c r="F444" s="140"/>
      <c r="G444" s="141"/>
    </row>
    <row r="445" spans="1:7" s="315" customFormat="1" ht="24" customHeight="1">
      <c r="A445" s="342">
        <f>A441+0.01</f>
        <v>49.309999999999938</v>
      </c>
      <c r="B445" s="354" t="s">
        <v>1045</v>
      </c>
      <c r="C445" s="140">
        <v>1</v>
      </c>
      <c r="D445" s="140" t="s">
        <v>1046</v>
      </c>
      <c r="E445" s="139">
        <v>5300</v>
      </c>
      <c r="F445" s="140">
        <f t="shared" ref="F445" si="116">ROUND(C445*E445,2)</f>
        <v>5300</v>
      </c>
      <c r="G445" s="141"/>
    </row>
    <row r="446" spans="1:7" s="315" customFormat="1" ht="17.25" customHeight="1">
      <c r="A446" s="353"/>
      <c r="B446" s="354"/>
      <c r="C446" s="140"/>
      <c r="D446" s="140"/>
      <c r="E446" s="139"/>
      <c r="F446" s="140"/>
      <c r="G446" s="141"/>
    </row>
    <row r="447" spans="1:7" s="315" customFormat="1" ht="24.75" customHeight="1">
      <c r="A447" s="410"/>
      <c r="B447" s="346" t="s">
        <v>686</v>
      </c>
      <c r="C447" s="140"/>
      <c r="D447" s="140"/>
      <c r="E447" s="139"/>
      <c r="F447" s="140"/>
      <c r="G447" s="141"/>
    </row>
    <row r="448" spans="1:7" s="315" customFormat="1" ht="48.75" customHeight="1">
      <c r="A448" s="353">
        <f>A445+0.01</f>
        <v>49.319999999999936</v>
      </c>
      <c r="B448" s="411" t="s">
        <v>1048</v>
      </c>
      <c r="C448" s="140">
        <v>1</v>
      </c>
      <c r="D448" s="140" t="s">
        <v>16</v>
      </c>
      <c r="E448" s="139">
        <v>8752.5999999999985</v>
      </c>
      <c r="F448" s="140">
        <f t="shared" ref="F448:F479" si="117">ROUND(C448*E448,2)</f>
        <v>8752.6</v>
      </c>
      <c r="G448" s="141"/>
    </row>
    <row r="449" spans="1:7" s="315" customFormat="1" ht="69" customHeight="1">
      <c r="A449" s="353">
        <f t="shared" ref="A449:A479" si="118">A448+0.01</f>
        <v>49.329999999999934</v>
      </c>
      <c r="B449" s="411" t="s">
        <v>1049</v>
      </c>
      <c r="C449" s="140">
        <v>16</v>
      </c>
      <c r="D449" s="140" t="s">
        <v>16</v>
      </c>
      <c r="E449" s="139">
        <v>5478.23</v>
      </c>
      <c r="F449" s="140">
        <f t="shared" si="117"/>
        <v>87651.68</v>
      </c>
      <c r="G449" s="141"/>
    </row>
    <row r="450" spans="1:7" s="315" customFormat="1" ht="69" customHeight="1">
      <c r="A450" s="353">
        <f t="shared" si="118"/>
        <v>49.339999999999932</v>
      </c>
      <c r="B450" s="412" t="s">
        <v>1050</v>
      </c>
      <c r="C450" s="140">
        <v>16</v>
      </c>
      <c r="D450" s="140" t="s">
        <v>16</v>
      </c>
      <c r="E450" s="139">
        <v>63645.984999999986</v>
      </c>
      <c r="F450" s="140">
        <f t="shared" si="117"/>
        <v>1018335.76</v>
      </c>
      <c r="G450" s="141"/>
    </row>
    <row r="451" spans="1:7" s="315" customFormat="1" ht="63" customHeight="1">
      <c r="A451" s="353">
        <f t="shared" si="118"/>
        <v>49.34999999999993</v>
      </c>
      <c r="B451" s="413" t="s">
        <v>1051</v>
      </c>
      <c r="C451" s="140">
        <v>1</v>
      </c>
      <c r="D451" s="140" t="s">
        <v>16</v>
      </c>
      <c r="E451" s="139">
        <v>21682.620000000006</v>
      </c>
      <c r="F451" s="140">
        <f t="shared" si="117"/>
        <v>21682.62</v>
      </c>
      <c r="G451" s="141"/>
    </row>
    <row r="452" spans="1:7" s="315" customFormat="1" ht="53.25" customHeight="1">
      <c r="A452" s="353">
        <f t="shared" si="118"/>
        <v>49.359999999999928</v>
      </c>
      <c r="B452" s="413" t="s">
        <v>1052</v>
      </c>
      <c r="C452" s="140">
        <v>28</v>
      </c>
      <c r="D452" s="140" t="s">
        <v>690</v>
      </c>
      <c r="E452" s="139">
        <v>6410.5450500000006</v>
      </c>
      <c r="F452" s="140">
        <f t="shared" si="117"/>
        <v>179495.26</v>
      </c>
      <c r="G452" s="141"/>
    </row>
    <row r="453" spans="1:7" s="315" customFormat="1" ht="53.25" customHeight="1">
      <c r="A453" s="353">
        <f t="shared" si="118"/>
        <v>49.369999999999926</v>
      </c>
      <c r="B453" s="413" t="s">
        <v>1076</v>
      </c>
      <c r="C453" s="140">
        <v>8</v>
      </c>
      <c r="D453" s="140" t="s">
        <v>16</v>
      </c>
      <c r="E453" s="139">
        <v>1779.56</v>
      </c>
      <c r="F453" s="140">
        <f t="shared" si="117"/>
        <v>14236.48</v>
      </c>
      <c r="G453" s="141"/>
    </row>
    <row r="454" spans="1:7" s="315" customFormat="1" ht="52.5" customHeight="1">
      <c r="A454" s="353">
        <f t="shared" si="118"/>
        <v>49.379999999999924</v>
      </c>
      <c r="B454" s="413" t="s">
        <v>1077</v>
      </c>
      <c r="C454" s="140">
        <v>36</v>
      </c>
      <c r="D454" s="140" t="s">
        <v>16</v>
      </c>
      <c r="E454" s="139">
        <v>2382.09</v>
      </c>
      <c r="F454" s="140">
        <f t="shared" si="117"/>
        <v>85755.24</v>
      </c>
      <c r="G454" s="141"/>
    </row>
    <row r="455" spans="1:7" s="315" customFormat="1" ht="47.25" customHeight="1">
      <c r="A455" s="353">
        <f t="shared" si="118"/>
        <v>49.389999999999922</v>
      </c>
      <c r="B455" s="414" t="s">
        <v>1055</v>
      </c>
      <c r="C455" s="140">
        <v>1</v>
      </c>
      <c r="D455" s="140" t="s">
        <v>16</v>
      </c>
      <c r="E455" s="139">
        <v>1917.17</v>
      </c>
      <c r="F455" s="140">
        <f t="shared" si="117"/>
        <v>1917.17</v>
      </c>
      <c r="G455" s="141"/>
    </row>
    <row r="456" spans="1:7" s="315" customFormat="1" ht="52.5" customHeight="1">
      <c r="A456" s="353">
        <f t="shared" si="118"/>
        <v>49.39999999999992</v>
      </c>
      <c r="B456" s="414" t="s">
        <v>1056</v>
      </c>
      <c r="C456" s="140">
        <v>52</v>
      </c>
      <c r="D456" s="140" t="s">
        <v>16</v>
      </c>
      <c r="E456" s="139">
        <v>8300</v>
      </c>
      <c r="F456" s="140">
        <f t="shared" si="117"/>
        <v>431600</v>
      </c>
      <c r="G456" s="141"/>
    </row>
    <row r="457" spans="1:7" s="315" customFormat="1" ht="63.75" customHeight="1">
      <c r="A457" s="353">
        <f t="shared" si="118"/>
        <v>49.409999999999918</v>
      </c>
      <c r="B457" s="411" t="s">
        <v>1057</v>
      </c>
      <c r="C457" s="140">
        <v>1</v>
      </c>
      <c r="D457" s="140" t="s">
        <v>16</v>
      </c>
      <c r="E457" s="139">
        <v>9480.14</v>
      </c>
      <c r="F457" s="140">
        <f t="shared" si="117"/>
        <v>9480.14</v>
      </c>
      <c r="G457" s="141"/>
    </row>
    <row r="458" spans="1:7" s="315" customFormat="1" ht="36" customHeight="1">
      <c r="A458" s="353">
        <f t="shared" si="118"/>
        <v>49.419999999999916</v>
      </c>
      <c r="B458" s="411" t="s">
        <v>1058</v>
      </c>
      <c r="C458" s="140">
        <v>1</v>
      </c>
      <c r="D458" s="140" t="s">
        <v>16</v>
      </c>
      <c r="E458" s="139">
        <v>7915.25</v>
      </c>
      <c r="F458" s="140">
        <f t="shared" si="117"/>
        <v>7915.25</v>
      </c>
      <c r="G458" s="141"/>
    </row>
    <row r="459" spans="1:7" s="315" customFormat="1" ht="50.25" customHeight="1">
      <c r="A459" s="353">
        <f t="shared" si="118"/>
        <v>49.429999999999914</v>
      </c>
      <c r="B459" s="411" t="s">
        <v>1078</v>
      </c>
      <c r="C459" s="140">
        <v>1</v>
      </c>
      <c r="D459" s="140" t="s">
        <v>16</v>
      </c>
      <c r="E459" s="139">
        <v>22772.53</v>
      </c>
      <c r="F459" s="140">
        <f t="shared" si="117"/>
        <v>22772.53</v>
      </c>
      <c r="G459" s="141"/>
    </row>
    <row r="460" spans="1:7" s="315" customFormat="1" ht="64.5" customHeight="1">
      <c r="A460" s="353">
        <f t="shared" si="118"/>
        <v>49.439999999999912</v>
      </c>
      <c r="B460" s="413" t="s">
        <v>1060</v>
      </c>
      <c r="C460" s="140">
        <v>17</v>
      </c>
      <c r="D460" s="140" t="s">
        <v>16</v>
      </c>
      <c r="E460" s="139">
        <v>3329.9400000000005</v>
      </c>
      <c r="F460" s="140">
        <f t="shared" si="117"/>
        <v>56608.98</v>
      </c>
      <c r="G460" s="141"/>
    </row>
    <row r="461" spans="1:7" s="315" customFormat="1" ht="69.75" customHeight="1">
      <c r="A461" s="353">
        <f t="shared" si="118"/>
        <v>49.44999999999991</v>
      </c>
      <c r="B461" s="413" t="s">
        <v>1061</v>
      </c>
      <c r="C461" s="140">
        <v>17</v>
      </c>
      <c r="D461" s="140" t="s">
        <v>16</v>
      </c>
      <c r="E461" s="139">
        <v>3961.63</v>
      </c>
      <c r="F461" s="140">
        <f t="shared" si="117"/>
        <v>67347.710000000006</v>
      </c>
      <c r="G461" s="141"/>
    </row>
    <row r="462" spans="1:7" s="315" customFormat="1" ht="50.25" customHeight="1">
      <c r="A462" s="353">
        <f t="shared" si="118"/>
        <v>49.459999999999908</v>
      </c>
      <c r="B462" s="413" t="s">
        <v>1062</v>
      </c>
      <c r="C462" s="140">
        <v>53</v>
      </c>
      <c r="D462" s="140" t="s">
        <v>16</v>
      </c>
      <c r="E462" s="139">
        <v>1608.5100000000002</v>
      </c>
      <c r="F462" s="140">
        <f t="shared" si="117"/>
        <v>85251.03</v>
      </c>
      <c r="G462" s="141"/>
    </row>
    <row r="463" spans="1:7" s="315" customFormat="1" ht="34.5" customHeight="1">
      <c r="A463" s="353">
        <f t="shared" si="118"/>
        <v>49.469999999999906</v>
      </c>
      <c r="B463" s="411" t="s">
        <v>1079</v>
      </c>
      <c r="C463" s="140">
        <v>1</v>
      </c>
      <c r="D463" s="140" t="s">
        <v>16</v>
      </c>
      <c r="E463" s="139">
        <v>1596.1</v>
      </c>
      <c r="F463" s="140">
        <f t="shared" si="117"/>
        <v>1596.1</v>
      </c>
      <c r="G463" s="141"/>
    </row>
    <row r="464" spans="1:7" s="315" customFormat="1" ht="35.25" customHeight="1">
      <c r="A464" s="353">
        <f t="shared" si="118"/>
        <v>49.479999999999905</v>
      </c>
      <c r="B464" s="411" t="s">
        <v>1080</v>
      </c>
      <c r="C464" s="140">
        <v>4</v>
      </c>
      <c r="D464" s="140" t="s">
        <v>16</v>
      </c>
      <c r="E464" s="139">
        <v>2842.93</v>
      </c>
      <c r="F464" s="140">
        <f t="shared" si="117"/>
        <v>11371.72</v>
      </c>
      <c r="G464" s="141"/>
    </row>
    <row r="465" spans="1:7" s="315" customFormat="1" ht="39" customHeight="1">
      <c r="A465" s="353">
        <f t="shared" si="118"/>
        <v>49.489999999999903</v>
      </c>
      <c r="B465" s="411" t="s">
        <v>1081</v>
      </c>
      <c r="C465" s="140">
        <v>12</v>
      </c>
      <c r="D465" s="140" t="s">
        <v>16</v>
      </c>
      <c r="E465" s="139">
        <v>4062.51</v>
      </c>
      <c r="F465" s="140">
        <f t="shared" si="117"/>
        <v>48750.12</v>
      </c>
      <c r="G465" s="141"/>
    </row>
    <row r="466" spans="1:7" s="315" customFormat="1" ht="61.5" customHeight="1">
      <c r="A466" s="353">
        <f t="shared" si="118"/>
        <v>49.499999999999901</v>
      </c>
      <c r="B466" s="411" t="s">
        <v>1047</v>
      </c>
      <c r="C466" s="140">
        <v>1</v>
      </c>
      <c r="D466" s="140" t="s">
        <v>16</v>
      </c>
      <c r="E466" s="139">
        <v>14792.85</v>
      </c>
      <c r="F466" s="140">
        <f t="shared" si="117"/>
        <v>14792.85</v>
      </c>
      <c r="G466" s="141"/>
    </row>
    <row r="467" spans="1:7" s="315" customFormat="1" ht="33" customHeight="1">
      <c r="A467" s="353">
        <f t="shared" si="118"/>
        <v>49.509999999999899</v>
      </c>
      <c r="B467" s="414" t="s">
        <v>1082</v>
      </c>
      <c r="C467" s="140">
        <v>1</v>
      </c>
      <c r="D467" s="140" t="s">
        <v>16</v>
      </c>
      <c r="E467" s="139">
        <v>3107.8700000000003</v>
      </c>
      <c r="F467" s="140">
        <f t="shared" si="117"/>
        <v>3107.87</v>
      </c>
      <c r="G467" s="141"/>
    </row>
    <row r="468" spans="1:7" s="315" customFormat="1" ht="37.5" customHeight="1">
      <c r="A468" s="353">
        <f t="shared" si="118"/>
        <v>49.519999999999897</v>
      </c>
      <c r="B468" s="414" t="s">
        <v>1065</v>
      </c>
      <c r="C468" s="140">
        <v>8</v>
      </c>
      <c r="D468" s="140" t="s">
        <v>16</v>
      </c>
      <c r="E468" s="139">
        <v>5474.2199999999993</v>
      </c>
      <c r="F468" s="140">
        <f t="shared" si="117"/>
        <v>43793.760000000002</v>
      </c>
      <c r="G468" s="141"/>
    </row>
    <row r="469" spans="1:7" s="315" customFormat="1" ht="42.75" customHeight="1">
      <c r="A469" s="353">
        <f t="shared" si="118"/>
        <v>49.529999999999895</v>
      </c>
      <c r="B469" s="414" t="s">
        <v>1083</v>
      </c>
      <c r="C469" s="140">
        <v>13</v>
      </c>
      <c r="D469" s="140" t="s">
        <v>16</v>
      </c>
      <c r="E469" s="139">
        <v>5474.2199999999993</v>
      </c>
      <c r="F469" s="140">
        <f t="shared" si="117"/>
        <v>71164.86</v>
      </c>
      <c r="G469" s="141"/>
    </row>
    <row r="470" spans="1:7" s="315" customFormat="1" ht="48" customHeight="1">
      <c r="A470" s="353">
        <f t="shared" si="118"/>
        <v>49.539999999999893</v>
      </c>
      <c r="B470" s="414" t="s">
        <v>1066</v>
      </c>
      <c r="C470" s="140">
        <v>13</v>
      </c>
      <c r="D470" s="140" t="s">
        <v>16</v>
      </c>
      <c r="E470" s="139">
        <v>5306.12</v>
      </c>
      <c r="F470" s="140">
        <f t="shared" si="117"/>
        <v>68979.56</v>
      </c>
      <c r="G470" s="141"/>
    </row>
    <row r="471" spans="1:7" s="315" customFormat="1" ht="38.25" customHeight="1">
      <c r="A471" s="353">
        <f t="shared" si="118"/>
        <v>49.549999999999891</v>
      </c>
      <c r="B471" s="414" t="s">
        <v>1067</v>
      </c>
      <c r="C471" s="140">
        <v>91.433999999999997</v>
      </c>
      <c r="D471" s="140" t="s">
        <v>688</v>
      </c>
      <c r="E471" s="139">
        <v>696.96</v>
      </c>
      <c r="F471" s="140">
        <f t="shared" si="117"/>
        <v>63725.84</v>
      </c>
      <c r="G471" s="141"/>
    </row>
    <row r="472" spans="1:7" s="315" customFormat="1" ht="42" customHeight="1">
      <c r="A472" s="353">
        <f t="shared" si="118"/>
        <v>49.559999999999889</v>
      </c>
      <c r="B472" s="414" t="s">
        <v>1068</v>
      </c>
      <c r="C472" s="140">
        <v>1.827</v>
      </c>
      <c r="D472" s="140" t="s">
        <v>688</v>
      </c>
      <c r="E472" s="139">
        <v>530.30999999999995</v>
      </c>
      <c r="F472" s="140">
        <f t="shared" si="117"/>
        <v>968.88</v>
      </c>
      <c r="G472" s="141"/>
    </row>
    <row r="473" spans="1:7" s="315" customFormat="1" ht="42" customHeight="1">
      <c r="A473" s="353">
        <f t="shared" si="118"/>
        <v>49.569999999999887</v>
      </c>
      <c r="B473" s="414" t="s">
        <v>1069</v>
      </c>
      <c r="C473" s="140">
        <v>19.32</v>
      </c>
      <c r="D473" s="140" t="s">
        <v>688</v>
      </c>
      <c r="E473" s="139">
        <v>266.16000000000003</v>
      </c>
      <c r="F473" s="140">
        <f t="shared" si="117"/>
        <v>5142.21</v>
      </c>
      <c r="G473" s="141"/>
    </row>
    <row r="474" spans="1:7" s="315" customFormat="1" ht="42" customHeight="1">
      <c r="A474" s="353">
        <f t="shared" si="118"/>
        <v>49.579999999999885</v>
      </c>
      <c r="B474" s="414" t="s">
        <v>1070</v>
      </c>
      <c r="C474" s="140">
        <v>6.5309999999999997</v>
      </c>
      <c r="D474" s="140" t="s">
        <v>688</v>
      </c>
      <c r="E474" s="139">
        <v>404.72</v>
      </c>
      <c r="F474" s="140">
        <f t="shared" si="117"/>
        <v>2643.23</v>
      </c>
      <c r="G474" s="141"/>
    </row>
    <row r="475" spans="1:7" s="315" customFormat="1" ht="36.75" customHeight="1">
      <c r="A475" s="353">
        <f t="shared" si="118"/>
        <v>49.589999999999883</v>
      </c>
      <c r="B475" s="414" t="s">
        <v>1071</v>
      </c>
      <c r="C475" s="140">
        <v>4.7459999999999996</v>
      </c>
      <c r="D475" s="140" t="s">
        <v>688</v>
      </c>
      <c r="E475" s="139">
        <v>487.72</v>
      </c>
      <c r="F475" s="140">
        <f t="shared" si="117"/>
        <v>2314.7199999999998</v>
      </c>
      <c r="G475" s="141"/>
    </row>
    <row r="476" spans="1:7" s="315" customFormat="1" ht="36.75" customHeight="1">
      <c r="A476" s="353">
        <f t="shared" si="118"/>
        <v>49.599999999999881</v>
      </c>
      <c r="B476" s="414" t="s">
        <v>1072</v>
      </c>
      <c r="C476" s="140">
        <v>35.658000000000001</v>
      </c>
      <c r="D476" s="140" t="s">
        <v>688</v>
      </c>
      <c r="E476" s="139">
        <v>697.28</v>
      </c>
      <c r="F476" s="140">
        <f t="shared" si="117"/>
        <v>24863.61</v>
      </c>
      <c r="G476" s="141"/>
    </row>
    <row r="477" spans="1:7" s="315" customFormat="1" ht="42" customHeight="1">
      <c r="A477" s="353">
        <f t="shared" si="118"/>
        <v>49.609999999999879</v>
      </c>
      <c r="B477" s="414" t="s">
        <v>1073</v>
      </c>
      <c r="C477" s="140">
        <v>24.192</v>
      </c>
      <c r="D477" s="140" t="s">
        <v>688</v>
      </c>
      <c r="E477" s="139">
        <v>2452.3000000000002</v>
      </c>
      <c r="F477" s="140">
        <f t="shared" si="117"/>
        <v>59326.04</v>
      </c>
      <c r="G477" s="141"/>
    </row>
    <row r="478" spans="1:7" s="315" customFormat="1" ht="42" customHeight="1">
      <c r="A478" s="353">
        <f t="shared" si="118"/>
        <v>49.619999999999877</v>
      </c>
      <c r="B478" s="414" t="s">
        <v>1074</v>
      </c>
      <c r="C478" s="140">
        <v>4</v>
      </c>
      <c r="D478" s="140" t="s">
        <v>16</v>
      </c>
      <c r="E478" s="139">
        <v>2546.7399999999998</v>
      </c>
      <c r="F478" s="140">
        <f t="shared" si="117"/>
        <v>10186.959999999999</v>
      </c>
      <c r="G478" s="245"/>
    </row>
    <row r="479" spans="1:7" s="315" customFormat="1" ht="39" customHeight="1">
      <c r="A479" s="353">
        <f t="shared" si="118"/>
        <v>49.629999999999875</v>
      </c>
      <c r="B479" s="414" t="s">
        <v>1075</v>
      </c>
      <c r="C479" s="140">
        <v>8</v>
      </c>
      <c r="D479" s="140" t="s">
        <v>16</v>
      </c>
      <c r="E479" s="139">
        <v>4613.51</v>
      </c>
      <c r="F479" s="140">
        <f t="shared" si="117"/>
        <v>36908.080000000002</v>
      </c>
      <c r="G479" s="141"/>
    </row>
    <row r="480" spans="1:7" s="315" customFormat="1" ht="19.5" customHeight="1">
      <c r="A480" s="353"/>
      <c r="B480" s="415"/>
      <c r="C480" s="140"/>
      <c r="D480" s="140"/>
      <c r="E480" s="139"/>
      <c r="F480" s="140"/>
      <c r="G480" s="143"/>
    </row>
    <row r="481" spans="1:7" s="315" customFormat="1" ht="20.25" customHeight="1">
      <c r="A481" s="229"/>
      <c r="B481" s="243" t="s">
        <v>1006</v>
      </c>
      <c r="C481" s="140"/>
      <c r="D481" s="140"/>
      <c r="E481" s="139"/>
      <c r="F481" s="140"/>
      <c r="G481" s="143"/>
    </row>
    <row r="482" spans="1:7" s="315" customFormat="1" ht="20.25" customHeight="1">
      <c r="A482" s="229"/>
      <c r="B482" s="230" t="s">
        <v>1044</v>
      </c>
      <c r="C482" s="140"/>
      <c r="D482" s="140"/>
      <c r="E482" s="139"/>
      <c r="F482" s="140"/>
      <c r="G482" s="143"/>
    </row>
    <row r="483" spans="1:7" s="315" customFormat="1" ht="20.25" customHeight="1">
      <c r="A483" s="229">
        <f>A479+0.01</f>
        <v>49.639999999999873</v>
      </c>
      <c r="B483" s="232" t="s">
        <v>1045</v>
      </c>
      <c r="C483" s="140">
        <v>1</v>
      </c>
      <c r="D483" s="140" t="s">
        <v>1046</v>
      </c>
      <c r="E483" s="139">
        <v>5300</v>
      </c>
      <c r="F483" s="140">
        <f t="shared" ref="F483" si="119">ROUND(C483*E483,2)</f>
        <v>5300</v>
      </c>
      <c r="G483" s="143"/>
    </row>
    <row r="484" spans="1:7" s="315" customFormat="1" ht="20.25" customHeight="1">
      <c r="A484" s="229"/>
      <c r="B484" s="232"/>
      <c r="C484" s="140"/>
      <c r="D484" s="140"/>
      <c r="E484" s="139"/>
      <c r="F484" s="140"/>
      <c r="G484" s="143"/>
    </row>
    <row r="485" spans="1:7" s="315" customFormat="1" ht="20.25" customHeight="1">
      <c r="A485" s="229"/>
      <c r="B485" s="230" t="s">
        <v>686</v>
      </c>
      <c r="C485" s="140"/>
      <c r="D485" s="140"/>
      <c r="E485" s="139"/>
      <c r="F485" s="140"/>
      <c r="G485" s="143"/>
    </row>
    <row r="486" spans="1:7" s="315" customFormat="1" ht="63" customHeight="1">
      <c r="A486" s="229">
        <f>A483+0.01</f>
        <v>49.649999999999871</v>
      </c>
      <c r="B486" s="411" t="s">
        <v>1048</v>
      </c>
      <c r="C486" s="140">
        <v>1</v>
      </c>
      <c r="D486" s="140" t="s">
        <v>16</v>
      </c>
      <c r="E486" s="139">
        <v>8752.5999999999985</v>
      </c>
      <c r="F486" s="140">
        <f t="shared" ref="F486:F514" si="120">ROUND(C486*E486,2)</f>
        <v>8752.6</v>
      </c>
      <c r="G486" s="143"/>
    </row>
    <row r="487" spans="1:7" s="315" customFormat="1" ht="63" customHeight="1">
      <c r="A487" s="229">
        <f>A486+0.01</f>
        <v>49.659999999999869</v>
      </c>
      <c r="B487" s="411" t="s">
        <v>1049</v>
      </c>
      <c r="C487" s="140">
        <v>16</v>
      </c>
      <c r="D487" s="140" t="s">
        <v>16</v>
      </c>
      <c r="E487" s="139">
        <v>5478.23</v>
      </c>
      <c r="F487" s="140">
        <f t="shared" si="120"/>
        <v>87651.68</v>
      </c>
      <c r="G487" s="143"/>
    </row>
    <row r="488" spans="1:7" s="315" customFormat="1" ht="49.5" customHeight="1">
      <c r="A488" s="229">
        <f t="shared" ref="A488:A514" si="121">A487+0.01</f>
        <v>49.669999999999867</v>
      </c>
      <c r="B488" s="412" t="s">
        <v>1050</v>
      </c>
      <c r="C488" s="140">
        <v>16</v>
      </c>
      <c r="D488" s="140" t="s">
        <v>16</v>
      </c>
      <c r="E488" s="139">
        <v>63645.984999999986</v>
      </c>
      <c r="F488" s="140">
        <f t="shared" si="120"/>
        <v>1018335.76</v>
      </c>
      <c r="G488" s="143"/>
    </row>
    <row r="489" spans="1:7" s="315" customFormat="1" ht="49.5" customHeight="1">
      <c r="A489" s="229">
        <f t="shared" si="121"/>
        <v>49.679999999999865</v>
      </c>
      <c r="B489" s="413" t="s">
        <v>1051</v>
      </c>
      <c r="C489" s="140">
        <v>1</v>
      </c>
      <c r="D489" s="140" t="s">
        <v>16</v>
      </c>
      <c r="E489" s="139">
        <v>21682.620000000006</v>
      </c>
      <c r="F489" s="140">
        <f t="shared" si="120"/>
        <v>21682.62</v>
      </c>
      <c r="G489" s="143"/>
    </row>
    <row r="490" spans="1:7" s="315" customFormat="1" ht="49.5" customHeight="1">
      <c r="A490" s="229">
        <f t="shared" si="121"/>
        <v>49.689999999999863</v>
      </c>
      <c r="B490" s="413" t="s">
        <v>1052</v>
      </c>
      <c r="C490" s="140">
        <v>28</v>
      </c>
      <c r="D490" s="140" t="s">
        <v>16</v>
      </c>
      <c r="E490" s="139">
        <v>6410.5450500000006</v>
      </c>
      <c r="F490" s="140">
        <f t="shared" si="120"/>
        <v>179495.26</v>
      </c>
      <c r="G490" s="143"/>
    </row>
    <row r="491" spans="1:7" s="315" customFormat="1" ht="49.5" customHeight="1">
      <c r="A491" s="229">
        <f t="shared" si="121"/>
        <v>49.699999999999861</v>
      </c>
      <c r="B491" s="413" t="s">
        <v>1053</v>
      </c>
      <c r="C491" s="140">
        <v>8</v>
      </c>
      <c r="D491" s="140" t="s">
        <v>16</v>
      </c>
      <c r="E491" s="139">
        <v>1779.56</v>
      </c>
      <c r="F491" s="140">
        <f t="shared" si="120"/>
        <v>14236.48</v>
      </c>
      <c r="G491" s="143"/>
    </row>
    <row r="492" spans="1:7" s="315" customFormat="1" ht="49.5" customHeight="1">
      <c r="A492" s="229">
        <f t="shared" si="121"/>
        <v>49.709999999999859</v>
      </c>
      <c r="B492" s="413" t="s">
        <v>1054</v>
      </c>
      <c r="C492" s="140">
        <v>36</v>
      </c>
      <c r="D492" s="140" t="s">
        <v>16</v>
      </c>
      <c r="E492" s="139">
        <v>2382.09</v>
      </c>
      <c r="F492" s="140">
        <f t="shared" si="120"/>
        <v>85755.24</v>
      </c>
      <c r="G492" s="143"/>
    </row>
    <row r="493" spans="1:7" s="315" customFormat="1" ht="49.5" customHeight="1">
      <c r="A493" s="229">
        <f t="shared" si="121"/>
        <v>49.719999999999857</v>
      </c>
      <c r="B493" s="414" t="s">
        <v>1055</v>
      </c>
      <c r="C493" s="140">
        <v>1</v>
      </c>
      <c r="D493" s="140" t="s">
        <v>16</v>
      </c>
      <c r="E493" s="139">
        <v>1917.17</v>
      </c>
      <c r="F493" s="140">
        <f t="shared" si="120"/>
        <v>1917.17</v>
      </c>
      <c r="G493" s="143"/>
    </row>
    <row r="494" spans="1:7" s="315" customFormat="1" ht="49.5" customHeight="1">
      <c r="A494" s="229">
        <f t="shared" si="121"/>
        <v>49.729999999999855</v>
      </c>
      <c r="B494" s="414" t="s">
        <v>1056</v>
      </c>
      <c r="C494" s="140">
        <v>48</v>
      </c>
      <c r="D494" s="140" t="s">
        <v>16</v>
      </c>
      <c r="E494" s="139">
        <v>8300</v>
      </c>
      <c r="F494" s="140">
        <f t="shared" si="120"/>
        <v>398400</v>
      </c>
      <c r="G494" s="143"/>
    </row>
    <row r="495" spans="1:7" s="315" customFormat="1" ht="61.5" customHeight="1">
      <c r="A495" s="229">
        <f t="shared" si="121"/>
        <v>49.739999999999853</v>
      </c>
      <c r="B495" s="411" t="s">
        <v>1057</v>
      </c>
      <c r="C495" s="140">
        <v>1</v>
      </c>
      <c r="D495" s="140" t="s">
        <v>16</v>
      </c>
      <c r="E495" s="139">
        <v>9480.14</v>
      </c>
      <c r="F495" s="140">
        <f t="shared" si="120"/>
        <v>9480.14</v>
      </c>
      <c r="G495" s="143"/>
    </row>
    <row r="496" spans="1:7" s="315" customFormat="1" ht="35.25" customHeight="1">
      <c r="A496" s="229">
        <f t="shared" si="121"/>
        <v>49.749999999999851</v>
      </c>
      <c r="B496" s="411" t="s">
        <v>1058</v>
      </c>
      <c r="C496" s="140">
        <v>1</v>
      </c>
      <c r="D496" s="140" t="s">
        <v>16</v>
      </c>
      <c r="E496" s="139">
        <v>7915.25</v>
      </c>
      <c r="F496" s="140">
        <f t="shared" si="120"/>
        <v>7915.25</v>
      </c>
      <c r="G496" s="143"/>
    </row>
    <row r="497" spans="1:7" s="315" customFormat="1" ht="49.5" customHeight="1">
      <c r="A497" s="229">
        <f t="shared" si="121"/>
        <v>49.759999999999849</v>
      </c>
      <c r="B497" s="411" t="s">
        <v>1059</v>
      </c>
      <c r="C497" s="140">
        <v>1</v>
      </c>
      <c r="D497" s="140" t="s">
        <v>16</v>
      </c>
      <c r="E497" s="139">
        <v>22772.53</v>
      </c>
      <c r="F497" s="140">
        <f t="shared" si="120"/>
        <v>22772.53</v>
      </c>
      <c r="G497" s="143"/>
    </row>
    <row r="498" spans="1:7" s="315" customFormat="1" ht="49.5" customHeight="1">
      <c r="A498" s="229">
        <f t="shared" si="121"/>
        <v>49.769999999999847</v>
      </c>
      <c r="B498" s="413" t="s">
        <v>1060</v>
      </c>
      <c r="C498" s="140">
        <v>17</v>
      </c>
      <c r="D498" s="140" t="s">
        <v>16</v>
      </c>
      <c r="E498" s="139">
        <v>3329.9400000000005</v>
      </c>
      <c r="F498" s="140">
        <f t="shared" si="120"/>
        <v>56608.98</v>
      </c>
      <c r="G498" s="143"/>
    </row>
    <row r="499" spans="1:7" s="315" customFormat="1" ht="63.75" customHeight="1">
      <c r="A499" s="229">
        <f t="shared" si="121"/>
        <v>49.779999999999845</v>
      </c>
      <c r="B499" s="413" t="s">
        <v>1061</v>
      </c>
      <c r="C499" s="140">
        <v>17</v>
      </c>
      <c r="D499" s="140" t="s">
        <v>16</v>
      </c>
      <c r="E499" s="139">
        <v>3961.63</v>
      </c>
      <c r="F499" s="140">
        <f t="shared" si="120"/>
        <v>67347.710000000006</v>
      </c>
      <c r="G499" s="143"/>
    </row>
    <row r="500" spans="1:7" s="315" customFormat="1" ht="50.25" customHeight="1">
      <c r="A500" s="229">
        <f t="shared" si="121"/>
        <v>49.789999999999843</v>
      </c>
      <c r="B500" s="413" t="s">
        <v>1062</v>
      </c>
      <c r="C500" s="140">
        <v>49</v>
      </c>
      <c r="D500" s="140" t="s">
        <v>16</v>
      </c>
      <c r="E500" s="139">
        <v>1608.5100000000002</v>
      </c>
      <c r="F500" s="140">
        <f t="shared" si="120"/>
        <v>78816.990000000005</v>
      </c>
      <c r="G500" s="143"/>
    </row>
    <row r="501" spans="1:7" s="315" customFormat="1" ht="36" customHeight="1">
      <c r="A501" s="229">
        <f t="shared" si="121"/>
        <v>49.799999999999841</v>
      </c>
      <c r="B501" s="411" t="s">
        <v>1063</v>
      </c>
      <c r="C501" s="140">
        <v>4</v>
      </c>
      <c r="D501" s="140" t="s">
        <v>16</v>
      </c>
      <c r="E501" s="139">
        <v>2842.93</v>
      </c>
      <c r="F501" s="140">
        <f t="shared" si="120"/>
        <v>11371.72</v>
      </c>
      <c r="G501" s="143"/>
    </row>
    <row r="502" spans="1:7" s="315" customFormat="1" ht="36" customHeight="1">
      <c r="A502" s="229">
        <f t="shared" si="121"/>
        <v>49.809999999999839</v>
      </c>
      <c r="B502" s="411" t="s">
        <v>1064</v>
      </c>
      <c r="C502" s="140">
        <v>8</v>
      </c>
      <c r="D502" s="140" t="s">
        <v>16</v>
      </c>
      <c r="E502" s="139">
        <v>4062.51</v>
      </c>
      <c r="F502" s="140">
        <f t="shared" si="120"/>
        <v>32500.080000000002</v>
      </c>
      <c r="G502" s="143"/>
    </row>
    <row r="503" spans="1:7" s="315" customFormat="1" ht="66.75" customHeight="1">
      <c r="A503" s="229">
        <f t="shared" si="121"/>
        <v>49.819999999999837</v>
      </c>
      <c r="B503" s="411" t="s">
        <v>1047</v>
      </c>
      <c r="C503" s="140">
        <v>1</v>
      </c>
      <c r="D503" s="140" t="s">
        <v>16</v>
      </c>
      <c r="E503" s="139">
        <v>14792.85</v>
      </c>
      <c r="F503" s="140">
        <f t="shared" si="120"/>
        <v>14792.85</v>
      </c>
      <c r="G503" s="143"/>
    </row>
    <row r="504" spans="1:7" s="315" customFormat="1" ht="49.5" customHeight="1">
      <c r="A504" s="229">
        <f t="shared" si="121"/>
        <v>49.829999999999835</v>
      </c>
      <c r="B504" s="414" t="s">
        <v>1065</v>
      </c>
      <c r="C504" s="140">
        <v>8</v>
      </c>
      <c r="D504" s="140" t="s">
        <v>16</v>
      </c>
      <c r="E504" s="139">
        <v>5474.2199999999993</v>
      </c>
      <c r="F504" s="140">
        <f t="shared" si="120"/>
        <v>43793.760000000002</v>
      </c>
      <c r="G504" s="143"/>
    </row>
    <row r="505" spans="1:7" s="315" customFormat="1" ht="49.5" customHeight="1">
      <c r="A505" s="229">
        <f t="shared" si="121"/>
        <v>49.839999999999833</v>
      </c>
      <c r="B505" s="414" t="s">
        <v>1066</v>
      </c>
      <c r="C505" s="140">
        <v>13</v>
      </c>
      <c r="D505" s="140" t="s">
        <v>16</v>
      </c>
      <c r="E505" s="139">
        <v>5306.12</v>
      </c>
      <c r="F505" s="140">
        <f t="shared" si="120"/>
        <v>68979.56</v>
      </c>
      <c r="G505" s="143"/>
    </row>
    <row r="506" spans="1:7" s="315" customFormat="1" ht="42.75" customHeight="1">
      <c r="A506" s="229">
        <f t="shared" si="121"/>
        <v>49.849999999999831</v>
      </c>
      <c r="B506" s="414" t="s">
        <v>1067</v>
      </c>
      <c r="C506" s="140">
        <v>91.433999999999997</v>
      </c>
      <c r="D506" s="140" t="s">
        <v>688</v>
      </c>
      <c r="E506" s="139">
        <v>696.96</v>
      </c>
      <c r="F506" s="140">
        <f t="shared" si="120"/>
        <v>63725.84</v>
      </c>
      <c r="G506" s="143"/>
    </row>
    <row r="507" spans="1:7" s="315" customFormat="1" ht="42.75" customHeight="1">
      <c r="A507" s="229">
        <f t="shared" si="121"/>
        <v>49.859999999999829</v>
      </c>
      <c r="B507" s="414" t="s">
        <v>1068</v>
      </c>
      <c r="C507" s="140">
        <v>1.827</v>
      </c>
      <c r="D507" s="140" t="s">
        <v>688</v>
      </c>
      <c r="E507" s="139">
        <v>530.30999999999995</v>
      </c>
      <c r="F507" s="140">
        <f t="shared" si="120"/>
        <v>968.88</v>
      </c>
      <c r="G507" s="143"/>
    </row>
    <row r="508" spans="1:7" s="315" customFormat="1" ht="42.75" customHeight="1">
      <c r="A508" s="229">
        <f t="shared" si="121"/>
        <v>49.869999999999827</v>
      </c>
      <c r="B508" s="414" t="s">
        <v>1069</v>
      </c>
      <c r="C508" s="140">
        <v>19.32</v>
      </c>
      <c r="D508" s="140" t="s">
        <v>688</v>
      </c>
      <c r="E508" s="139">
        <v>266.16000000000003</v>
      </c>
      <c r="F508" s="140">
        <f t="shared" si="120"/>
        <v>5142.21</v>
      </c>
      <c r="G508" s="143"/>
    </row>
    <row r="509" spans="1:7" s="315" customFormat="1" ht="42.75" customHeight="1">
      <c r="A509" s="229">
        <f t="shared" si="121"/>
        <v>49.879999999999825</v>
      </c>
      <c r="B509" s="414" t="s">
        <v>1070</v>
      </c>
      <c r="C509" s="140">
        <v>6.5309999999999997</v>
      </c>
      <c r="D509" s="140" t="s">
        <v>688</v>
      </c>
      <c r="E509" s="139">
        <v>404.72</v>
      </c>
      <c r="F509" s="140">
        <f t="shared" si="120"/>
        <v>2643.23</v>
      </c>
      <c r="G509" s="143"/>
    </row>
    <row r="510" spans="1:7" s="315" customFormat="1" ht="42.75" customHeight="1">
      <c r="A510" s="229">
        <f t="shared" si="121"/>
        <v>49.889999999999823</v>
      </c>
      <c r="B510" s="414" t="s">
        <v>1071</v>
      </c>
      <c r="C510" s="140">
        <v>4.7459999999999996</v>
      </c>
      <c r="D510" s="140" t="s">
        <v>688</v>
      </c>
      <c r="E510" s="139">
        <v>487.72</v>
      </c>
      <c r="F510" s="140">
        <f t="shared" si="120"/>
        <v>2314.7199999999998</v>
      </c>
      <c r="G510" s="143"/>
    </row>
    <row r="511" spans="1:7" s="315" customFormat="1" ht="42.75" customHeight="1">
      <c r="A511" s="229">
        <f t="shared" si="121"/>
        <v>49.899999999999821</v>
      </c>
      <c r="B511" s="414" t="s">
        <v>1072</v>
      </c>
      <c r="C511" s="140">
        <v>35.658000000000001</v>
      </c>
      <c r="D511" s="140" t="s">
        <v>688</v>
      </c>
      <c r="E511" s="139">
        <v>697.28</v>
      </c>
      <c r="F511" s="140">
        <f t="shared" si="120"/>
        <v>24863.61</v>
      </c>
      <c r="G511" s="143"/>
    </row>
    <row r="512" spans="1:7" s="315" customFormat="1" ht="42.75" customHeight="1">
      <c r="A512" s="229">
        <f t="shared" si="121"/>
        <v>49.909999999999819</v>
      </c>
      <c r="B512" s="414" t="s">
        <v>1073</v>
      </c>
      <c r="C512" s="140">
        <v>24.192</v>
      </c>
      <c r="D512" s="140" t="s">
        <v>688</v>
      </c>
      <c r="E512" s="139">
        <v>2452.3000000000002</v>
      </c>
      <c r="F512" s="140">
        <f t="shared" si="120"/>
        <v>59326.04</v>
      </c>
      <c r="G512" s="143"/>
    </row>
    <row r="513" spans="1:7" s="315" customFormat="1" ht="42.75" customHeight="1">
      <c r="A513" s="229">
        <f t="shared" si="121"/>
        <v>49.919999999999817</v>
      </c>
      <c r="B513" s="414" t="s">
        <v>1074</v>
      </c>
      <c r="C513" s="140">
        <v>4</v>
      </c>
      <c r="D513" s="140" t="s">
        <v>16</v>
      </c>
      <c r="E513" s="139">
        <v>2546.7399999999998</v>
      </c>
      <c r="F513" s="140">
        <f t="shared" si="120"/>
        <v>10186.959999999999</v>
      </c>
      <c r="G513" s="143"/>
    </row>
    <row r="514" spans="1:7" s="315" customFormat="1" ht="42.75" customHeight="1">
      <c r="A514" s="229">
        <f t="shared" si="121"/>
        <v>49.929999999999815</v>
      </c>
      <c r="B514" s="414" t="s">
        <v>1075</v>
      </c>
      <c r="C514" s="140">
        <v>8</v>
      </c>
      <c r="D514" s="140" t="s">
        <v>16</v>
      </c>
      <c r="E514" s="139">
        <v>4613.51</v>
      </c>
      <c r="F514" s="140">
        <f t="shared" si="120"/>
        <v>36908.080000000002</v>
      </c>
      <c r="G514" s="143"/>
    </row>
    <row r="515" spans="1:7" s="315" customFormat="1" ht="20.25" customHeight="1">
      <c r="A515" s="229"/>
      <c r="B515" s="232"/>
      <c r="C515" s="140"/>
      <c r="D515" s="140"/>
      <c r="E515" s="139"/>
      <c r="F515" s="140"/>
      <c r="G515" s="143"/>
    </row>
    <row r="516" spans="1:7" s="315" customFormat="1" ht="20.25" customHeight="1">
      <c r="A516" s="229"/>
      <c r="B516" s="230" t="s">
        <v>727</v>
      </c>
      <c r="C516" s="424"/>
      <c r="D516" s="425"/>
      <c r="E516" s="139"/>
      <c r="F516" s="140"/>
      <c r="G516" s="143"/>
    </row>
    <row r="517" spans="1:7" s="315" customFormat="1" ht="20.25" customHeight="1">
      <c r="A517" s="229"/>
      <c r="B517" s="416" t="s">
        <v>686</v>
      </c>
      <c r="C517" s="417"/>
      <c r="D517" s="418"/>
      <c r="E517" s="139"/>
      <c r="F517" s="140"/>
      <c r="G517" s="143"/>
    </row>
    <row r="518" spans="1:7" s="315" customFormat="1" ht="62.25" customHeight="1">
      <c r="A518" s="229">
        <f>A514+0.01</f>
        <v>49.939999999999813</v>
      </c>
      <c r="B518" s="411" t="s">
        <v>1057</v>
      </c>
      <c r="C518" s="419">
        <v>4</v>
      </c>
      <c r="D518" s="418" t="s">
        <v>16</v>
      </c>
      <c r="E518" s="139">
        <v>9480.14</v>
      </c>
      <c r="F518" s="140">
        <f t="shared" ref="F518:F527" si="122">ROUND(C518*E518,2)</f>
        <v>37920.559999999998</v>
      </c>
      <c r="G518" s="143"/>
    </row>
    <row r="519" spans="1:7" s="315" customFormat="1" ht="63.75" customHeight="1">
      <c r="A519" s="229">
        <f>A518+0.01</f>
        <v>49.949999999999811</v>
      </c>
      <c r="B519" s="411" t="s">
        <v>1095</v>
      </c>
      <c r="C519" s="420">
        <v>4</v>
      </c>
      <c r="D519" s="418" t="s">
        <v>16</v>
      </c>
      <c r="E519" s="139">
        <v>7188.3752000000004</v>
      </c>
      <c r="F519" s="140">
        <f t="shared" si="122"/>
        <v>28753.5</v>
      </c>
      <c r="G519" s="143"/>
    </row>
    <row r="520" spans="1:7" s="315" customFormat="1" ht="48" customHeight="1">
      <c r="A520" s="229">
        <f t="shared" ref="A520:A527" si="123">A519+0.01</f>
        <v>49.959999999999809</v>
      </c>
      <c r="B520" s="414" t="s">
        <v>1056</v>
      </c>
      <c r="C520" s="421">
        <v>8</v>
      </c>
      <c r="D520" s="418" t="s">
        <v>16</v>
      </c>
      <c r="E520" s="139">
        <v>8300</v>
      </c>
      <c r="F520" s="140">
        <f t="shared" si="122"/>
        <v>66400</v>
      </c>
      <c r="G520" s="143"/>
    </row>
    <row r="521" spans="1:7" s="315" customFormat="1" ht="78" customHeight="1">
      <c r="A521" s="229">
        <f t="shared" si="123"/>
        <v>49.969999999999807</v>
      </c>
      <c r="B521" s="413" t="s">
        <v>1096</v>
      </c>
      <c r="C521" s="417">
        <v>20</v>
      </c>
      <c r="D521" s="418" t="s">
        <v>16</v>
      </c>
      <c r="E521" s="139">
        <v>3329.9400000000005</v>
      </c>
      <c r="F521" s="140">
        <f t="shared" si="122"/>
        <v>66598.8</v>
      </c>
      <c r="G521" s="143"/>
    </row>
    <row r="522" spans="1:7" s="315" customFormat="1" ht="49.5" customHeight="1">
      <c r="A522" s="229">
        <f t="shared" si="123"/>
        <v>49.979999999999805</v>
      </c>
      <c r="B522" s="413" t="s">
        <v>1054</v>
      </c>
      <c r="C522" s="419">
        <v>12</v>
      </c>
      <c r="D522" s="418" t="s">
        <v>16</v>
      </c>
      <c r="E522" s="139">
        <v>2382.09</v>
      </c>
      <c r="F522" s="140">
        <f t="shared" si="122"/>
        <v>28585.08</v>
      </c>
      <c r="G522" s="143"/>
    </row>
    <row r="523" spans="1:7" s="315" customFormat="1" ht="39" customHeight="1">
      <c r="A523" s="229">
        <f t="shared" si="123"/>
        <v>49.989999999999803</v>
      </c>
      <c r="B523" s="414" t="s">
        <v>1088</v>
      </c>
      <c r="C523" s="422">
        <v>3</v>
      </c>
      <c r="D523" s="418" t="s">
        <v>16</v>
      </c>
      <c r="E523" s="139">
        <v>3616.27</v>
      </c>
      <c r="F523" s="140">
        <f t="shared" si="122"/>
        <v>10848.81</v>
      </c>
      <c r="G523" s="143"/>
    </row>
    <row r="524" spans="1:7" s="315" customFormat="1" ht="36.75" customHeight="1">
      <c r="A524" s="229">
        <f t="shared" si="123"/>
        <v>49.999999999999801</v>
      </c>
      <c r="B524" s="411" t="s">
        <v>1063</v>
      </c>
      <c r="C524" s="419">
        <v>4</v>
      </c>
      <c r="D524" s="418" t="s">
        <v>16</v>
      </c>
      <c r="E524" s="139">
        <v>2842.93</v>
      </c>
      <c r="F524" s="140">
        <f t="shared" si="122"/>
        <v>11371.72</v>
      </c>
      <c r="G524" s="143"/>
    </row>
    <row r="525" spans="1:7" s="315" customFormat="1" ht="38.25" customHeight="1">
      <c r="A525" s="229">
        <f t="shared" si="123"/>
        <v>50.009999999999799</v>
      </c>
      <c r="B525" s="414" t="s">
        <v>1074</v>
      </c>
      <c r="C525" s="423">
        <v>4</v>
      </c>
      <c r="D525" s="418" t="s">
        <v>16</v>
      </c>
      <c r="E525" s="139">
        <v>2546.7399999999998</v>
      </c>
      <c r="F525" s="140">
        <f t="shared" si="122"/>
        <v>10186.959999999999</v>
      </c>
      <c r="G525" s="143"/>
    </row>
    <row r="526" spans="1:7" s="315" customFormat="1" ht="34.5" customHeight="1">
      <c r="A526" s="229">
        <f t="shared" si="123"/>
        <v>50.019999999999797</v>
      </c>
      <c r="B526" s="411" t="s">
        <v>1097</v>
      </c>
      <c r="C526" s="422">
        <v>13</v>
      </c>
      <c r="D526" s="418" t="s">
        <v>690</v>
      </c>
      <c r="E526" s="139">
        <v>5306.12</v>
      </c>
      <c r="F526" s="140">
        <f t="shared" si="122"/>
        <v>68979.56</v>
      </c>
      <c r="G526" s="143"/>
    </row>
    <row r="527" spans="1:7" s="315" customFormat="1" ht="35.25" customHeight="1">
      <c r="A527" s="229">
        <f t="shared" si="123"/>
        <v>50.029999999999795</v>
      </c>
      <c r="B527" s="413" t="s">
        <v>1098</v>
      </c>
      <c r="C527" s="422">
        <v>12</v>
      </c>
      <c r="D527" s="418" t="s">
        <v>690</v>
      </c>
      <c r="E527" s="139">
        <v>28884.18</v>
      </c>
      <c r="F527" s="140">
        <f t="shared" si="122"/>
        <v>346610.16</v>
      </c>
      <c r="G527" s="143"/>
    </row>
    <row r="528" spans="1:7" s="315" customFormat="1" ht="20.25" customHeight="1">
      <c r="A528" s="229"/>
      <c r="B528" s="232"/>
      <c r="C528" s="140"/>
      <c r="D528" s="140"/>
      <c r="E528" s="139"/>
      <c r="F528" s="140"/>
      <c r="G528" s="143"/>
    </row>
    <row r="529" spans="1:7" s="315" customFormat="1" ht="20.25" customHeight="1">
      <c r="A529" s="229"/>
      <c r="B529" s="230" t="s">
        <v>1099</v>
      </c>
      <c r="C529" s="140"/>
      <c r="D529" s="140"/>
      <c r="E529" s="139"/>
      <c r="F529" s="140"/>
      <c r="G529" s="143"/>
    </row>
    <row r="530" spans="1:7" s="315" customFormat="1" ht="36" customHeight="1">
      <c r="A530" s="229">
        <f>A527+0.01</f>
        <v>50.039999999999793</v>
      </c>
      <c r="B530" s="414" t="s">
        <v>1100</v>
      </c>
      <c r="C530" s="417">
        <v>11</v>
      </c>
      <c r="D530" s="418" t="s">
        <v>16</v>
      </c>
      <c r="E530" s="139">
        <v>5097.26</v>
      </c>
      <c r="F530" s="140">
        <f t="shared" ref="F530:F536" si="124">ROUND(C530*E530,2)</f>
        <v>56069.86</v>
      </c>
      <c r="G530" s="143"/>
    </row>
    <row r="531" spans="1:7" s="315" customFormat="1" ht="36" customHeight="1">
      <c r="A531" s="229">
        <f>A530+0.01</f>
        <v>50.049999999999791</v>
      </c>
      <c r="B531" s="414" t="s">
        <v>1101</v>
      </c>
      <c r="C531" s="417">
        <v>8</v>
      </c>
      <c r="D531" s="418" t="s">
        <v>16</v>
      </c>
      <c r="E531" s="139">
        <v>5097.26</v>
      </c>
      <c r="F531" s="140">
        <f t="shared" si="124"/>
        <v>40778.080000000002</v>
      </c>
      <c r="G531" s="143"/>
    </row>
    <row r="532" spans="1:7" s="315" customFormat="1" ht="36" customHeight="1">
      <c r="A532" s="229">
        <f t="shared" ref="A532:A536" si="125">A531+0.01</f>
        <v>50.059999999999789</v>
      </c>
      <c r="B532" s="414" t="s">
        <v>1102</v>
      </c>
      <c r="C532" s="417">
        <v>2</v>
      </c>
      <c r="D532" s="418" t="s">
        <v>16</v>
      </c>
      <c r="E532" s="139">
        <v>11312.72</v>
      </c>
      <c r="F532" s="140">
        <f t="shared" si="124"/>
        <v>22625.439999999999</v>
      </c>
      <c r="G532" s="143"/>
    </row>
    <row r="533" spans="1:7" s="315" customFormat="1" ht="46.5" customHeight="1">
      <c r="A533" s="229">
        <f t="shared" si="125"/>
        <v>50.069999999999787</v>
      </c>
      <c r="B533" s="411" t="s">
        <v>1103</v>
      </c>
      <c r="C533" s="422">
        <v>80</v>
      </c>
      <c r="D533" s="418" t="s">
        <v>688</v>
      </c>
      <c r="E533" s="139">
        <v>4825.7609698340202</v>
      </c>
      <c r="F533" s="140">
        <f t="shared" si="124"/>
        <v>386060.88</v>
      </c>
      <c r="G533" s="143"/>
    </row>
    <row r="534" spans="1:7" s="315" customFormat="1" ht="36" customHeight="1">
      <c r="A534" s="229">
        <f t="shared" si="125"/>
        <v>50.079999999999785</v>
      </c>
      <c r="B534" s="414" t="s">
        <v>1104</v>
      </c>
      <c r="C534" s="417">
        <v>1</v>
      </c>
      <c r="D534" s="418" t="s">
        <v>16</v>
      </c>
      <c r="E534" s="139">
        <v>3761.8999999999996</v>
      </c>
      <c r="F534" s="140">
        <f t="shared" si="124"/>
        <v>3761.9</v>
      </c>
      <c r="G534" s="143"/>
    </row>
    <row r="535" spans="1:7" s="315" customFormat="1" ht="36" customHeight="1">
      <c r="A535" s="229">
        <f t="shared" si="125"/>
        <v>50.089999999999783</v>
      </c>
      <c r="B535" s="414" t="s">
        <v>1105</v>
      </c>
      <c r="C535" s="417">
        <v>12</v>
      </c>
      <c r="D535" s="418" t="s">
        <v>16</v>
      </c>
      <c r="E535" s="139">
        <v>6863.5099999999993</v>
      </c>
      <c r="F535" s="140">
        <f t="shared" si="124"/>
        <v>82362.12</v>
      </c>
      <c r="G535" s="143"/>
    </row>
    <row r="536" spans="1:7" s="315" customFormat="1" ht="36" customHeight="1">
      <c r="A536" s="229">
        <f t="shared" si="125"/>
        <v>50.099999999999781</v>
      </c>
      <c r="B536" s="414" t="s">
        <v>1106</v>
      </c>
      <c r="C536" s="417">
        <f>C535</f>
        <v>12</v>
      </c>
      <c r="D536" s="418" t="s">
        <v>16</v>
      </c>
      <c r="E536" s="139">
        <v>4545.2</v>
      </c>
      <c r="F536" s="140">
        <f t="shared" si="124"/>
        <v>54542.400000000001</v>
      </c>
      <c r="G536" s="141">
        <f>SUM(F408:F536)</f>
        <v>8845501.959999999</v>
      </c>
    </row>
    <row r="537" spans="1:7" s="315" customFormat="1" ht="20.25" customHeight="1">
      <c r="A537" s="229"/>
      <c r="B537" s="232"/>
      <c r="C537" s="140"/>
      <c r="D537" s="140"/>
      <c r="E537" s="139"/>
      <c r="F537" s="140"/>
      <c r="G537" s="143"/>
    </row>
    <row r="538" spans="1:7" s="315" customFormat="1" ht="20.25" customHeight="1">
      <c r="A538" s="242">
        <v>51</v>
      </c>
      <c r="B538" s="343" t="s">
        <v>1002</v>
      </c>
      <c r="C538" s="139"/>
      <c r="D538" s="139"/>
      <c r="E538" s="139"/>
      <c r="F538" s="140"/>
      <c r="G538" s="245"/>
    </row>
    <row r="539" spans="1:7" s="315" customFormat="1" ht="20.25" customHeight="1">
      <c r="A539" s="237"/>
      <c r="B539" s="243" t="s">
        <v>687</v>
      </c>
      <c r="C539" s="140"/>
      <c r="D539" s="140"/>
      <c r="E539" s="139"/>
      <c r="F539" s="140"/>
      <c r="G539" s="245"/>
    </row>
    <row r="540" spans="1:7" s="315" customFormat="1" ht="33.75" customHeight="1">
      <c r="A540" s="237">
        <f>A538+0.01</f>
        <v>51.01</v>
      </c>
      <c r="B540" s="234" t="s">
        <v>1020</v>
      </c>
      <c r="C540" s="140">
        <v>59</v>
      </c>
      <c r="D540" s="140" t="s">
        <v>16</v>
      </c>
      <c r="E540" s="139">
        <v>2051</v>
      </c>
      <c r="F540" s="140">
        <f t="shared" ref="F540:F553" si="126">ROUND(C540*E540,2)</f>
        <v>121009</v>
      </c>
      <c r="G540" s="245"/>
    </row>
    <row r="541" spans="1:7" s="315" customFormat="1" ht="41.25" customHeight="1">
      <c r="A541" s="237">
        <f>A540+0.01</f>
        <v>51.019999999999996</v>
      </c>
      <c r="B541" s="234" t="s">
        <v>1028</v>
      </c>
      <c r="C541" s="140">
        <v>21</v>
      </c>
      <c r="D541" s="140" t="s">
        <v>16</v>
      </c>
      <c r="E541" s="139">
        <v>8423.31</v>
      </c>
      <c r="F541" s="140">
        <f t="shared" si="126"/>
        <v>176889.51</v>
      </c>
      <c r="G541" s="245"/>
    </row>
    <row r="542" spans="1:7" s="315" customFormat="1" ht="33.75" customHeight="1">
      <c r="A542" s="237">
        <f t="shared" ref="A542:A553" si="127">A541+0.01</f>
        <v>51.029999999999994</v>
      </c>
      <c r="B542" s="234" t="s">
        <v>1021</v>
      </c>
      <c r="C542" s="140">
        <v>5</v>
      </c>
      <c r="D542" s="140" t="s">
        <v>16</v>
      </c>
      <c r="E542" s="139">
        <v>1819.35</v>
      </c>
      <c r="F542" s="140">
        <f t="shared" si="126"/>
        <v>9096.75</v>
      </c>
      <c r="G542" s="245"/>
    </row>
    <row r="543" spans="1:7" s="315" customFormat="1" ht="33.75" customHeight="1">
      <c r="A543" s="237">
        <f t="shared" si="127"/>
        <v>51.039999999999992</v>
      </c>
      <c r="B543" s="234" t="s">
        <v>1022</v>
      </c>
      <c r="C543" s="140">
        <v>11</v>
      </c>
      <c r="D543" s="140" t="s">
        <v>16</v>
      </c>
      <c r="E543" s="139">
        <v>2058.13</v>
      </c>
      <c r="F543" s="140">
        <f t="shared" si="126"/>
        <v>22639.43</v>
      </c>
      <c r="G543" s="245"/>
    </row>
    <row r="544" spans="1:7" s="315" customFormat="1" ht="33.75" customHeight="1">
      <c r="A544" s="237">
        <f t="shared" si="127"/>
        <v>51.04999999999999</v>
      </c>
      <c r="B544" s="234" t="s">
        <v>1029</v>
      </c>
      <c r="C544" s="140">
        <v>3</v>
      </c>
      <c r="D544" s="140" t="s">
        <v>16</v>
      </c>
      <c r="E544" s="139">
        <v>1870.85</v>
      </c>
      <c r="F544" s="140">
        <f t="shared" si="126"/>
        <v>5612.55</v>
      </c>
      <c r="G544" s="245"/>
    </row>
    <row r="545" spans="1:7" s="315" customFormat="1" ht="33.75" customHeight="1">
      <c r="A545" s="237">
        <f t="shared" si="127"/>
        <v>51.059999999999988</v>
      </c>
      <c r="B545" s="234" t="s">
        <v>1023</v>
      </c>
      <c r="C545" s="140">
        <v>1</v>
      </c>
      <c r="D545" s="140" t="s">
        <v>16</v>
      </c>
      <c r="E545" s="139">
        <v>3276.32</v>
      </c>
      <c r="F545" s="140">
        <f t="shared" si="126"/>
        <v>3276.32</v>
      </c>
      <c r="G545" s="245"/>
    </row>
    <row r="546" spans="1:7" s="315" customFormat="1" ht="45" customHeight="1">
      <c r="A546" s="237">
        <f t="shared" si="127"/>
        <v>51.069999999999986</v>
      </c>
      <c r="B546" s="234" t="s">
        <v>1024</v>
      </c>
      <c r="C546" s="140">
        <v>3</v>
      </c>
      <c r="D546" s="140" t="s">
        <v>16</v>
      </c>
      <c r="E546" s="139">
        <v>3161.45</v>
      </c>
      <c r="F546" s="140">
        <f t="shared" si="126"/>
        <v>9484.35</v>
      </c>
      <c r="G546" s="245"/>
    </row>
    <row r="547" spans="1:7" s="315" customFormat="1" ht="33.75" customHeight="1">
      <c r="A547" s="237">
        <f t="shared" si="127"/>
        <v>51.079999999999984</v>
      </c>
      <c r="B547" s="234" t="s">
        <v>1030</v>
      </c>
      <c r="C547" s="140">
        <v>14</v>
      </c>
      <c r="D547" s="140" t="s">
        <v>16</v>
      </c>
      <c r="E547" s="139">
        <v>1870.85</v>
      </c>
      <c r="F547" s="140">
        <f t="shared" si="126"/>
        <v>26191.9</v>
      </c>
      <c r="G547" s="245"/>
    </row>
    <row r="548" spans="1:7" s="315" customFormat="1" ht="33.75" customHeight="1">
      <c r="A548" s="237">
        <f t="shared" si="127"/>
        <v>51.089999999999982</v>
      </c>
      <c r="B548" s="234" t="s">
        <v>1031</v>
      </c>
      <c r="C548" s="140">
        <v>1</v>
      </c>
      <c r="D548" s="140" t="s">
        <v>16</v>
      </c>
      <c r="E548" s="139">
        <v>7500</v>
      </c>
      <c r="F548" s="140">
        <f t="shared" si="126"/>
        <v>7500</v>
      </c>
      <c r="G548" s="245"/>
    </row>
    <row r="549" spans="1:7" s="315" customFormat="1" ht="48" customHeight="1">
      <c r="A549" s="237">
        <f t="shared" si="127"/>
        <v>51.09999999999998</v>
      </c>
      <c r="B549" s="234" t="s">
        <v>1032</v>
      </c>
      <c r="C549" s="140">
        <v>1</v>
      </c>
      <c r="D549" s="140" t="s">
        <v>16</v>
      </c>
      <c r="E549" s="139">
        <v>34565.97</v>
      </c>
      <c r="F549" s="140">
        <f t="shared" si="126"/>
        <v>34565.97</v>
      </c>
      <c r="G549" s="245"/>
    </row>
    <row r="550" spans="1:7" s="315" customFormat="1" ht="33.75" customHeight="1">
      <c r="A550" s="237">
        <f t="shared" si="127"/>
        <v>51.109999999999978</v>
      </c>
      <c r="B550" s="234" t="s">
        <v>1033</v>
      </c>
      <c r="C550" s="140">
        <v>1</v>
      </c>
      <c r="D550" s="140" t="s">
        <v>16</v>
      </c>
      <c r="E550" s="139">
        <v>185920.58</v>
      </c>
      <c r="F550" s="140">
        <f t="shared" si="126"/>
        <v>185920.58</v>
      </c>
      <c r="G550" s="245"/>
    </row>
    <row r="551" spans="1:7" s="315" customFormat="1" ht="48.75" customHeight="1">
      <c r="A551" s="237">
        <f t="shared" si="127"/>
        <v>51.119999999999976</v>
      </c>
      <c r="B551" s="234" t="s">
        <v>1025</v>
      </c>
      <c r="C551" s="140">
        <v>1</v>
      </c>
      <c r="D551" s="140" t="s">
        <v>16</v>
      </c>
      <c r="E551" s="139">
        <v>114771.81</v>
      </c>
      <c r="F551" s="140">
        <f t="shared" si="126"/>
        <v>114771.81</v>
      </c>
      <c r="G551" s="245"/>
    </row>
    <row r="552" spans="1:7" s="315" customFormat="1" ht="20.25" customHeight="1">
      <c r="A552" s="237">
        <f t="shared" si="127"/>
        <v>51.129999999999974</v>
      </c>
      <c r="B552" s="234" t="s">
        <v>1026</v>
      </c>
      <c r="C552" s="140">
        <v>3</v>
      </c>
      <c r="D552" s="140" t="s">
        <v>16</v>
      </c>
      <c r="E552" s="139">
        <v>3500</v>
      </c>
      <c r="F552" s="140">
        <f t="shared" si="126"/>
        <v>10500</v>
      </c>
      <c r="G552" s="245"/>
    </row>
    <row r="553" spans="1:7" s="315" customFormat="1" ht="20.25" customHeight="1">
      <c r="A553" s="237">
        <f t="shared" si="127"/>
        <v>51.139999999999972</v>
      </c>
      <c r="B553" s="234" t="s">
        <v>1027</v>
      </c>
      <c r="C553" s="140">
        <v>1</v>
      </c>
      <c r="D553" s="140" t="s">
        <v>16</v>
      </c>
      <c r="E553" s="139">
        <v>7086.24</v>
      </c>
      <c r="F553" s="140">
        <f t="shared" si="126"/>
        <v>7086.24</v>
      </c>
      <c r="G553" s="245"/>
    </row>
    <row r="554" spans="1:7" s="315" customFormat="1" ht="20.25" customHeight="1">
      <c r="A554" s="237"/>
      <c r="B554" s="234"/>
      <c r="C554" s="140"/>
      <c r="D554" s="140"/>
      <c r="E554" s="139"/>
      <c r="F554" s="140"/>
      <c r="G554" s="245"/>
    </row>
    <row r="555" spans="1:7" s="315" customFormat="1" ht="20.25" customHeight="1">
      <c r="A555" s="237"/>
      <c r="B555" s="243" t="s">
        <v>689</v>
      </c>
      <c r="C555" s="140"/>
      <c r="D555" s="140"/>
      <c r="E555" s="139"/>
      <c r="F555" s="140"/>
      <c r="G555" s="245"/>
    </row>
    <row r="556" spans="1:7" s="315" customFormat="1" ht="36.75" customHeight="1">
      <c r="A556" s="237">
        <f>A553+0.01</f>
        <v>51.14999999999997</v>
      </c>
      <c r="B556" s="234" t="s">
        <v>1034</v>
      </c>
      <c r="C556" s="140">
        <v>62</v>
      </c>
      <c r="D556" s="140" t="s">
        <v>16</v>
      </c>
      <c r="E556" s="139">
        <v>2051</v>
      </c>
      <c r="F556" s="140">
        <f t="shared" ref="F556:F565" si="128">ROUND(C556*E556,2)</f>
        <v>127162</v>
      </c>
      <c r="G556" s="245"/>
    </row>
    <row r="557" spans="1:7" s="315" customFormat="1" ht="49.5" customHeight="1">
      <c r="A557" s="237">
        <f>A556+0.01</f>
        <v>51.159999999999968</v>
      </c>
      <c r="B557" s="234" t="s">
        <v>1038</v>
      </c>
      <c r="C557" s="140">
        <v>19</v>
      </c>
      <c r="D557" s="140" t="s">
        <v>16</v>
      </c>
      <c r="E557" s="139">
        <v>8423.31</v>
      </c>
      <c r="F557" s="140">
        <f t="shared" si="128"/>
        <v>160042.89000000001</v>
      </c>
      <c r="G557" s="245"/>
    </row>
    <row r="558" spans="1:7" s="315" customFormat="1" ht="36.75" customHeight="1">
      <c r="A558" s="237">
        <f t="shared" ref="A558:A565" si="129">A557+0.01</f>
        <v>51.169999999999966</v>
      </c>
      <c r="B558" s="234" t="s">
        <v>1035</v>
      </c>
      <c r="C558" s="140">
        <v>4</v>
      </c>
      <c r="D558" s="140" t="s">
        <v>16</v>
      </c>
      <c r="E558" s="139">
        <v>1819.35</v>
      </c>
      <c r="F558" s="140">
        <f t="shared" si="128"/>
        <v>7277.4</v>
      </c>
      <c r="G558" s="245"/>
    </row>
    <row r="559" spans="1:7" s="315" customFormat="1" ht="36.75" customHeight="1">
      <c r="A559" s="237">
        <f t="shared" si="129"/>
        <v>51.179999999999964</v>
      </c>
      <c r="B559" s="234" t="s">
        <v>1036</v>
      </c>
      <c r="C559" s="140">
        <v>18</v>
      </c>
      <c r="D559" s="140" t="s">
        <v>16</v>
      </c>
      <c r="E559" s="139">
        <v>2058.13</v>
      </c>
      <c r="F559" s="140">
        <f t="shared" si="128"/>
        <v>37046.339999999997</v>
      </c>
      <c r="G559" s="245"/>
    </row>
    <row r="560" spans="1:7" s="315" customFormat="1" ht="36.75" customHeight="1">
      <c r="A560" s="237">
        <f t="shared" si="129"/>
        <v>51.189999999999962</v>
      </c>
      <c r="B560" s="234" t="s">
        <v>1039</v>
      </c>
      <c r="C560" s="140">
        <v>1</v>
      </c>
      <c r="D560" s="140" t="s">
        <v>16</v>
      </c>
      <c r="E560" s="139">
        <v>1780.35</v>
      </c>
      <c r="F560" s="140">
        <f t="shared" si="128"/>
        <v>1780.35</v>
      </c>
      <c r="G560" s="245"/>
    </row>
    <row r="561" spans="1:7" s="315" customFormat="1" ht="36.75" customHeight="1">
      <c r="A561" s="237">
        <f t="shared" si="129"/>
        <v>51.19999999999996</v>
      </c>
      <c r="B561" s="234" t="s">
        <v>1037</v>
      </c>
      <c r="C561" s="140">
        <v>3</v>
      </c>
      <c r="D561" s="140" t="s">
        <v>16</v>
      </c>
      <c r="E561" s="139">
        <v>3961.45</v>
      </c>
      <c r="F561" s="140">
        <f t="shared" si="128"/>
        <v>11884.35</v>
      </c>
      <c r="G561" s="245"/>
    </row>
    <row r="562" spans="1:7" s="315" customFormat="1" ht="36.75" customHeight="1">
      <c r="A562" s="237">
        <f t="shared" si="129"/>
        <v>51.209999999999958</v>
      </c>
      <c r="B562" s="234" t="s">
        <v>1040</v>
      </c>
      <c r="C562" s="140">
        <v>20</v>
      </c>
      <c r="D562" s="140" t="s">
        <v>16</v>
      </c>
      <c r="E562" s="139">
        <v>1730.35</v>
      </c>
      <c r="F562" s="140">
        <f t="shared" si="128"/>
        <v>34607</v>
      </c>
      <c r="G562" s="245"/>
    </row>
    <row r="563" spans="1:7" s="315" customFormat="1" ht="51.75" customHeight="1">
      <c r="A563" s="237">
        <f t="shared" si="129"/>
        <v>51.219999999999956</v>
      </c>
      <c r="B563" s="234" t="s">
        <v>1041</v>
      </c>
      <c r="C563" s="140">
        <v>4</v>
      </c>
      <c r="D563" s="140" t="s">
        <v>16</v>
      </c>
      <c r="E563" s="139">
        <v>36397.32</v>
      </c>
      <c r="F563" s="140">
        <f t="shared" si="128"/>
        <v>145589.28</v>
      </c>
      <c r="G563" s="245"/>
    </row>
    <row r="564" spans="1:7" s="315" customFormat="1" ht="36.75" customHeight="1">
      <c r="A564" s="237">
        <f t="shared" si="129"/>
        <v>51.229999999999954</v>
      </c>
      <c r="B564" s="234" t="s">
        <v>1019</v>
      </c>
      <c r="C564" s="140">
        <v>1</v>
      </c>
      <c r="D564" s="140" t="s">
        <v>16</v>
      </c>
      <c r="E564" s="139">
        <v>175920.58</v>
      </c>
      <c r="F564" s="140">
        <f t="shared" si="128"/>
        <v>175920.58</v>
      </c>
      <c r="G564" s="245"/>
    </row>
    <row r="565" spans="1:7" s="315" customFormat="1" ht="20.25" customHeight="1">
      <c r="A565" s="237">
        <f t="shared" si="129"/>
        <v>51.239999999999952</v>
      </c>
      <c r="B565" s="234" t="s">
        <v>1026</v>
      </c>
      <c r="C565" s="140">
        <v>3</v>
      </c>
      <c r="D565" s="140" t="s">
        <v>16</v>
      </c>
      <c r="E565" s="139">
        <v>3500</v>
      </c>
      <c r="F565" s="140">
        <f t="shared" si="128"/>
        <v>10500</v>
      </c>
      <c r="G565" s="245"/>
    </row>
    <row r="566" spans="1:7" s="315" customFormat="1" ht="20.25" customHeight="1">
      <c r="A566" s="237"/>
      <c r="B566" s="234"/>
      <c r="C566" s="140"/>
      <c r="D566" s="140"/>
      <c r="E566" s="139"/>
      <c r="F566" s="140"/>
      <c r="G566" s="245"/>
    </row>
    <row r="567" spans="1:7" s="315" customFormat="1" ht="20.25" customHeight="1">
      <c r="A567" s="237"/>
      <c r="B567" s="243" t="s">
        <v>1006</v>
      </c>
      <c r="C567" s="140"/>
      <c r="D567" s="140"/>
      <c r="E567" s="139"/>
      <c r="F567" s="140"/>
      <c r="G567" s="245"/>
    </row>
    <row r="568" spans="1:7" s="315" customFormat="1" ht="38.25" customHeight="1">
      <c r="A568" s="229">
        <f>A565+0.01</f>
        <v>51.24999999999995</v>
      </c>
      <c r="B568" s="234" t="s">
        <v>1008</v>
      </c>
      <c r="C568" s="140">
        <v>60</v>
      </c>
      <c r="D568" s="140" t="s">
        <v>16</v>
      </c>
      <c r="E568" s="139">
        <v>2059</v>
      </c>
      <c r="F568" s="140">
        <f t="shared" ref="F568:F578" si="130">ROUND(C568*E568,2)</f>
        <v>123540</v>
      </c>
      <c r="G568" s="245"/>
    </row>
    <row r="569" spans="1:7" s="315" customFormat="1" ht="63.75" customHeight="1">
      <c r="A569" s="229">
        <f>A568+0.01</f>
        <v>51.259999999999948</v>
      </c>
      <c r="B569" s="234" t="s">
        <v>1042</v>
      </c>
      <c r="C569" s="140">
        <v>19</v>
      </c>
      <c r="D569" s="140" t="s">
        <v>16</v>
      </c>
      <c r="E569" s="139">
        <v>423.34</v>
      </c>
      <c r="F569" s="140">
        <f t="shared" si="130"/>
        <v>8043.46</v>
      </c>
      <c r="G569" s="245"/>
    </row>
    <row r="570" spans="1:7" s="315" customFormat="1" ht="58.5" customHeight="1">
      <c r="A570" s="229">
        <f t="shared" ref="A570:A578" si="131">A569+0.01</f>
        <v>51.269999999999946</v>
      </c>
      <c r="B570" s="234" t="s">
        <v>1007</v>
      </c>
      <c r="C570" s="140">
        <v>6</v>
      </c>
      <c r="D570" s="140" t="s">
        <v>16</v>
      </c>
      <c r="E570" s="139">
        <v>14104.72</v>
      </c>
      <c r="F570" s="140">
        <f t="shared" si="130"/>
        <v>84628.32</v>
      </c>
      <c r="G570" s="245"/>
    </row>
    <row r="571" spans="1:7" s="315" customFormat="1" ht="58.5" customHeight="1">
      <c r="A571" s="229">
        <f t="shared" si="131"/>
        <v>51.279999999999944</v>
      </c>
      <c r="B571" s="234" t="s">
        <v>1009</v>
      </c>
      <c r="C571" s="140">
        <v>9</v>
      </c>
      <c r="D571" s="140" t="s">
        <v>16</v>
      </c>
      <c r="E571" s="139">
        <v>2058.4699999999998</v>
      </c>
      <c r="F571" s="140">
        <f t="shared" si="130"/>
        <v>18526.23</v>
      </c>
      <c r="G571" s="245"/>
    </row>
    <row r="572" spans="1:7" s="315" customFormat="1" ht="58.5" customHeight="1">
      <c r="A572" s="229">
        <f t="shared" si="131"/>
        <v>51.289999999999942</v>
      </c>
      <c r="B572" s="234" t="s">
        <v>1012</v>
      </c>
      <c r="C572" s="140">
        <v>4</v>
      </c>
      <c r="D572" s="140" t="s">
        <v>16</v>
      </c>
      <c r="E572" s="139">
        <v>2058.4699999999998</v>
      </c>
      <c r="F572" s="140">
        <f t="shared" si="130"/>
        <v>8233.8799999999992</v>
      </c>
      <c r="G572" s="245"/>
    </row>
    <row r="573" spans="1:7" s="315" customFormat="1" ht="58.5" customHeight="1">
      <c r="A573" s="229">
        <f t="shared" si="131"/>
        <v>51.29999999999994</v>
      </c>
      <c r="B573" s="234" t="s">
        <v>1017</v>
      </c>
      <c r="C573" s="140">
        <v>1</v>
      </c>
      <c r="D573" s="140" t="s">
        <v>16</v>
      </c>
      <c r="E573" s="139">
        <v>1780.85</v>
      </c>
      <c r="F573" s="140">
        <f t="shared" si="130"/>
        <v>1780.85</v>
      </c>
      <c r="G573" s="245"/>
    </row>
    <row r="574" spans="1:7" s="315" customFormat="1" ht="63" customHeight="1">
      <c r="A574" s="229">
        <f t="shared" si="131"/>
        <v>51.309999999999938</v>
      </c>
      <c r="B574" s="234" t="s">
        <v>1005</v>
      </c>
      <c r="C574" s="140">
        <v>3</v>
      </c>
      <c r="D574" s="140" t="s">
        <v>16</v>
      </c>
      <c r="E574" s="139">
        <v>3161.45</v>
      </c>
      <c r="F574" s="140">
        <f t="shared" si="130"/>
        <v>9484.35</v>
      </c>
      <c r="G574" s="245"/>
    </row>
    <row r="575" spans="1:7" s="315" customFormat="1" ht="58.5" customHeight="1">
      <c r="A575" s="229">
        <f t="shared" si="131"/>
        <v>51.319999999999936</v>
      </c>
      <c r="B575" s="234" t="s">
        <v>1010</v>
      </c>
      <c r="C575" s="140">
        <v>10</v>
      </c>
      <c r="D575" s="140" t="s">
        <v>16</v>
      </c>
      <c r="E575" s="139">
        <v>1780.85</v>
      </c>
      <c r="F575" s="140">
        <f t="shared" si="130"/>
        <v>17808.5</v>
      </c>
      <c r="G575" s="245"/>
    </row>
    <row r="576" spans="1:7" s="315" customFormat="1" ht="81.75" customHeight="1">
      <c r="A576" s="229">
        <f t="shared" si="131"/>
        <v>51.329999999999934</v>
      </c>
      <c r="B576" s="234" t="s">
        <v>1018</v>
      </c>
      <c r="C576" s="140">
        <v>1</v>
      </c>
      <c r="D576" s="140" t="s">
        <v>16</v>
      </c>
      <c r="E576" s="139">
        <v>42171.75</v>
      </c>
      <c r="F576" s="140">
        <f t="shared" si="130"/>
        <v>42171.75</v>
      </c>
      <c r="G576" s="245"/>
    </row>
    <row r="577" spans="1:13" s="315" customFormat="1" ht="38.25" customHeight="1">
      <c r="A577" s="229">
        <f t="shared" si="131"/>
        <v>51.339999999999932</v>
      </c>
      <c r="B577" s="234" t="s">
        <v>1019</v>
      </c>
      <c r="C577" s="140">
        <v>1</v>
      </c>
      <c r="D577" s="140" t="s">
        <v>16</v>
      </c>
      <c r="E577" s="139">
        <v>185920.58</v>
      </c>
      <c r="F577" s="140">
        <f t="shared" si="130"/>
        <v>185920.58</v>
      </c>
      <c r="G577" s="245"/>
    </row>
    <row r="578" spans="1:13" s="315" customFormat="1" ht="38.25" customHeight="1">
      <c r="A578" s="229">
        <f t="shared" si="131"/>
        <v>51.34999999999993</v>
      </c>
      <c r="B578" s="234" t="s">
        <v>1004</v>
      </c>
      <c r="C578" s="140">
        <v>3</v>
      </c>
      <c r="D578" s="140" t="s">
        <v>16</v>
      </c>
      <c r="E578" s="139">
        <v>3500</v>
      </c>
      <c r="F578" s="140">
        <f t="shared" si="130"/>
        <v>10500</v>
      </c>
    </row>
    <row r="579" spans="1:13" s="315" customFormat="1" ht="20.25" customHeight="1">
      <c r="A579" s="229"/>
      <c r="B579" s="232"/>
      <c r="C579" s="140"/>
      <c r="D579" s="140"/>
      <c r="E579" s="139"/>
      <c r="F579" s="140"/>
      <c r="G579" s="141"/>
    </row>
    <row r="580" spans="1:13" s="315" customFormat="1" ht="20.25" customHeight="1">
      <c r="A580" s="229"/>
      <c r="B580" s="243" t="s">
        <v>1011</v>
      </c>
      <c r="C580" s="140"/>
      <c r="D580" s="140"/>
      <c r="E580" s="139"/>
      <c r="F580" s="140"/>
      <c r="G580" s="141"/>
    </row>
    <row r="581" spans="1:13" s="315" customFormat="1" ht="51" customHeight="1">
      <c r="A581" s="229">
        <f>A578+0.01</f>
        <v>51.359999999999928</v>
      </c>
      <c r="B581" s="234" t="s">
        <v>1003</v>
      </c>
      <c r="C581" s="406">
        <v>14</v>
      </c>
      <c r="D581" s="406" t="s">
        <v>16</v>
      </c>
      <c r="E581" s="407">
        <v>2051</v>
      </c>
      <c r="F581" s="140">
        <f t="shared" ref="F581:F586" si="132">ROUND(C581*E581,2)</f>
        <v>28714</v>
      </c>
      <c r="G581" s="141"/>
    </row>
    <row r="582" spans="1:13" s="315" customFormat="1" ht="55.5" customHeight="1">
      <c r="A582" s="229">
        <f>A581+0.01</f>
        <v>51.369999999999926</v>
      </c>
      <c r="B582" s="234" t="s">
        <v>1012</v>
      </c>
      <c r="C582" s="406">
        <v>2</v>
      </c>
      <c r="D582" s="406" t="s">
        <v>16</v>
      </c>
      <c r="E582" s="407">
        <v>1319.35</v>
      </c>
      <c r="F582" s="140">
        <f t="shared" si="132"/>
        <v>2638.7</v>
      </c>
      <c r="G582" s="141"/>
    </row>
    <row r="583" spans="1:13" s="315" customFormat="1" ht="51" customHeight="1">
      <c r="A583" s="229">
        <f t="shared" ref="A583:A586" si="133">A582+0.01</f>
        <v>51.379999999999924</v>
      </c>
      <c r="B583" s="234" t="s">
        <v>1016</v>
      </c>
      <c r="C583" s="406">
        <v>1</v>
      </c>
      <c r="D583" s="406" t="s">
        <v>16</v>
      </c>
      <c r="E583" s="407">
        <v>2196.15</v>
      </c>
      <c r="F583" s="140">
        <f t="shared" si="132"/>
        <v>2196.15</v>
      </c>
      <c r="G583" s="141"/>
    </row>
    <row r="584" spans="1:13" s="315" customFormat="1" ht="51" customHeight="1">
      <c r="A584" s="229">
        <f t="shared" si="133"/>
        <v>51.389999999999922</v>
      </c>
      <c r="B584" s="234" t="s">
        <v>1013</v>
      </c>
      <c r="C584" s="406">
        <v>8</v>
      </c>
      <c r="D584" s="406" t="s">
        <v>16</v>
      </c>
      <c r="E584" s="407">
        <v>2058.13</v>
      </c>
      <c r="F584" s="140">
        <f t="shared" si="132"/>
        <v>16465.04</v>
      </c>
      <c r="G584" s="141"/>
    </row>
    <row r="585" spans="1:13" s="315" customFormat="1" ht="51" customHeight="1">
      <c r="A585" s="229">
        <f t="shared" si="133"/>
        <v>51.39999999999992</v>
      </c>
      <c r="B585" s="234" t="s">
        <v>1015</v>
      </c>
      <c r="C585" s="406">
        <v>8</v>
      </c>
      <c r="D585" s="406" t="s">
        <v>16</v>
      </c>
      <c r="E585" s="407">
        <v>3276.32</v>
      </c>
      <c r="F585" s="140">
        <f t="shared" si="132"/>
        <v>26210.560000000001</v>
      </c>
      <c r="G585" s="141"/>
    </row>
    <row r="586" spans="1:13" s="315" customFormat="1" ht="78" customHeight="1">
      <c r="A586" s="229">
        <f t="shared" si="133"/>
        <v>51.409999999999918</v>
      </c>
      <c r="B586" s="234" t="s">
        <v>1014</v>
      </c>
      <c r="C586" s="406">
        <v>2</v>
      </c>
      <c r="D586" s="406" t="s">
        <v>16</v>
      </c>
      <c r="E586" s="407">
        <v>123768.71</v>
      </c>
      <c r="F586" s="140">
        <f t="shared" si="132"/>
        <v>247537.42</v>
      </c>
      <c r="G586" s="245">
        <f>SUM(F539:F586)</f>
        <v>2280754.3900000006</v>
      </c>
    </row>
    <row r="587" spans="1:13" s="315" customFormat="1" ht="20.25" customHeight="1">
      <c r="A587" s="229"/>
      <c r="B587" s="232"/>
      <c r="C587" s="140"/>
      <c r="D587" s="140"/>
      <c r="E587" s="139"/>
      <c r="F587" s="140"/>
      <c r="G587" s="141"/>
    </row>
    <row r="588" spans="1:13" s="315" customFormat="1" ht="20.25" customHeight="1" thickBot="1">
      <c r="A588" s="229"/>
      <c r="B588" s="232"/>
      <c r="C588" s="140"/>
      <c r="D588" s="140"/>
      <c r="E588" s="139"/>
      <c r="F588" s="233"/>
      <c r="G588" s="252"/>
      <c r="M588" s="233"/>
    </row>
    <row r="589" spans="1:13" s="315" customFormat="1" ht="20.25" customHeight="1" thickTop="1" thickBot="1">
      <c r="A589" s="246"/>
      <c r="B589" s="247" t="s">
        <v>482</v>
      </c>
      <c r="C589" s="248"/>
      <c r="D589" s="249"/>
      <c r="E589" s="250"/>
      <c r="F589" s="250"/>
      <c r="G589" s="144" t="e">
        <f>SUM(G13:G587)</f>
        <v>#REF!</v>
      </c>
      <c r="H589" s="318"/>
      <c r="I589" s="319"/>
      <c r="M589" s="233"/>
    </row>
    <row r="590" spans="1:13" s="315" customFormat="1" ht="20.25" customHeight="1" thickTop="1">
      <c r="A590" s="253"/>
      <c r="B590" s="239"/>
      <c r="C590" s="254"/>
      <c r="D590" s="255"/>
      <c r="E590" s="256"/>
      <c r="F590" s="256"/>
      <c r="G590" s="143"/>
      <c r="M590" s="233"/>
    </row>
    <row r="591" spans="1:13" s="315" customFormat="1" ht="20.25" customHeight="1">
      <c r="A591" s="229"/>
      <c r="B591" s="230" t="s">
        <v>483</v>
      </c>
      <c r="C591" s="257"/>
      <c r="D591" s="258"/>
      <c r="E591" s="257"/>
      <c r="F591" s="140"/>
      <c r="G591" s="259"/>
      <c r="M591" s="233"/>
    </row>
    <row r="592" spans="1:13" s="315" customFormat="1" ht="20.25" customHeight="1">
      <c r="A592" s="229"/>
      <c r="B592" s="232" t="s">
        <v>484</v>
      </c>
      <c r="C592" s="258"/>
      <c r="D592" s="257"/>
      <c r="E592" s="260">
        <v>0.1</v>
      </c>
      <c r="F592" s="261" t="e">
        <f>ROUND(G589*E592,2)</f>
        <v>#REF!</v>
      </c>
      <c r="G592" s="262"/>
      <c r="M592" s="233"/>
    </row>
    <row r="593" spans="1:13" s="315" customFormat="1" ht="20.25" customHeight="1">
      <c r="A593" s="229"/>
      <c r="B593" s="232" t="s">
        <v>485</v>
      </c>
      <c r="C593" s="258"/>
      <c r="D593" s="257"/>
      <c r="E593" s="260">
        <v>4.4999999999999998E-2</v>
      </c>
      <c r="F593" s="261" t="e">
        <f>ROUND(G589*E593,2)</f>
        <v>#REF!</v>
      </c>
      <c r="G593" s="262"/>
      <c r="M593" s="233"/>
    </row>
    <row r="594" spans="1:13" s="315" customFormat="1" ht="20.25" customHeight="1">
      <c r="A594" s="229"/>
      <c r="B594" s="232" t="s">
        <v>486</v>
      </c>
      <c r="C594" s="258"/>
      <c r="D594" s="257"/>
      <c r="E594" s="260">
        <v>0.03</v>
      </c>
      <c r="F594" s="261" t="e">
        <f>ROUND(G589*E594,2)</f>
        <v>#REF!</v>
      </c>
      <c r="G594" s="262"/>
      <c r="M594" s="233"/>
    </row>
    <row r="595" spans="1:13" s="315" customFormat="1" ht="20.25" customHeight="1">
      <c r="A595" s="229"/>
      <c r="B595" s="232" t="s">
        <v>994</v>
      </c>
      <c r="C595" s="258"/>
      <c r="D595" s="257"/>
      <c r="E595" s="260">
        <v>2.5000000000000001E-2</v>
      </c>
      <c r="F595" s="261" t="e">
        <f>ROUND(G589*E595,2)</f>
        <v>#REF!</v>
      </c>
      <c r="G595" s="262"/>
      <c r="M595" s="233"/>
    </row>
    <row r="596" spans="1:13" s="315" customFormat="1" ht="20.25" customHeight="1">
      <c r="A596" s="229"/>
      <c r="B596" s="232" t="s">
        <v>487</v>
      </c>
      <c r="C596" s="263"/>
      <c r="D596" s="140"/>
      <c r="E596" s="260">
        <v>0.05</v>
      </c>
      <c r="F596" s="261" t="e">
        <f>ROUND(G589*E596,2)</f>
        <v>#REF!</v>
      </c>
      <c r="G596" s="141"/>
      <c r="M596" s="233"/>
    </row>
    <row r="597" spans="1:13" s="315" customFormat="1" ht="20.25" customHeight="1">
      <c r="A597" s="229"/>
      <c r="B597" s="232" t="s">
        <v>488</v>
      </c>
      <c r="C597" s="257"/>
      <c r="D597" s="258"/>
      <c r="E597" s="260">
        <v>1E-3</v>
      </c>
      <c r="F597" s="261" t="e">
        <f>G589*E597</f>
        <v>#REF!</v>
      </c>
      <c r="G597" s="141"/>
      <c r="M597" s="233"/>
    </row>
    <row r="598" spans="1:13" s="315" customFormat="1" ht="20.25" customHeight="1">
      <c r="A598" s="264"/>
      <c r="B598" s="244" t="s">
        <v>489</v>
      </c>
      <c r="C598" s="265"/>
      <c r="D598" s="266"/>
      <c r="E598" s="267">
        <v>0.18</v>
      </c>
      <c r="F598" s="268" t="e">
        <f>F592*E598</f>
        <v>#REF!</v>
      </c>
      <c r="G598" s="269"/>
      <c r="M598" s="233"/>
    </row>
    <row r="599" spans="1:13" s="315" customFormat="1" ht="20.25" customHeight="1">
      <c r="A599" s="270"/>
      <c r="B599" s="271" t="s">
        <v>490</v>
      </c>
      <c r="C599" s="272"/>
      <c r="D599" s="273"/>
      <c r="E599" s="274">
        <v>3.0000000000000001E-3</v>
      </c>
      <c r="F599" s="275" t="e">
        <f>G589*E599</f>
        <v>#REF!</v>
      </c>
      <c r="G599" s="276"/>
      <c r="M599" s="233"/>
    </row>
    <row r="600" spans="1:13" s="315" customFormat="1" ht="35.25" customHeight="1">
      <c r="A600" s="270"/>
      <c r="B600" s="277" t="s">
        <v>491</v>
      </c>
      <c r="C600" s="271"/>
      <c r="D600" s="273"/>
      <c r="E600" s="274">
        <v>0.01</v>
      </c>
      <c r="F600" s="275" t="e">
        <f>ROUND(G589*E600,2)</f>
        <v>#REF!</v>
      </c>
      <c r="G600" s="278" t="e">
        <f>SUM(F592:F600)</f>
        <v>#REF!</v>
      </c>
      <c r="M600" s="320"/>
    </row>
    <row r="601" spans="1:13" s="315" customFormat="1" ht="35.25" customHeight="1" thickBot="1">
      <c r="A601" s="279"/>
      <c r="B601" s="280"/>
      <c r="C601" s="281"/>
      <c r="D601" s="282"/>
      <c r="E601" s="283"/>
      <c r="F601" s="284"/>
      <c r="G601" s="285"/>
      <c r="M601" s="320"/>
    </row>
    <row r="602" spans="1:13" s="315" customFormat="1" ht="20.25" customHeight="1" thickTop="1" thickBot="1">
      <c r="A602" s="286"/>
      <c r="B602" s="287" t="s">
        <v>492</v>
      </c>
      <c r="C602" s="288"/>
      <c r="D602" s="289"/>
      <c r="E602" s="290"/>
      <c r="F602" s="290"/>
      <c r="G602" s="146" t="e">
        <f>SUM(G589:G600)</f>
        <v>#REF!</v>
      </c>
      <c r="H602" s="145"/>
    </row>
    <row r="603" spans="1:13" s="315" customFormat="1" ht="6" customHeight="1" thickTop="1">
      <c r="A603" s="291"/>
      <c r="B603" s="292"/>
      <c r="C603" s="293"/>
      <c r="D603" s="294"/>
      <c r="E603" s="295"/>
      <c r="F603" s="295"/>
      <c r="G603" s="147"/>
    </row>
    <row r="604" spans="1:13" s="315" customFormat="1" ht="15.75" customHeight="1">
      <c r="A604" s="291"/>
      <c r="B604" s="292"/>
      <c r="C604" s="293"/>
      <c r="D604" s="294"/>
      <c r="E604" s="295"/>
      <c r="F604" s="295"/>
      <c r="G604" s="147"/>
    </row>
    <row r="605" spans="1:13" s="321" customFormat="1" ht="17.25" customHeight="1">
      <c r="A605" s="296"/>
      <c r="B605" s="297" t="s">
        <v>493</v>
      </c>
      <c r="C605" s="298"/>
      <c r="D605" s="299"/>
      <c r="E605" s="300"/>
      <c r="F605" s="300"/>
      <c r="G605" s="301"/>
      <c r="I605" s="322"/>
    </row>
    <row r="606" spans="1:13" s="321" customFormat="1" ht="20.25" customHeight="1">
      <c r="A606" s="579" t="s">
        <v>494</v>
      </c>
      <c r="B606" s="580"/>
      <c r="C606" s="580"/>
      <c r="D606" s="580"/>
      <c r="E606" s="580"/>
      <c r="F606" s="580"/>
      <c r="G606" s="581"/>
      <c r="I606" s="322"/>
    </row>
    <row r="607" spans="1:13" s="321" customFormat="1" ht="20.25" customHeight="1">
      <c r="A607" s="302"/>
      <c r="B607" s="303" t="s">
        <v>495</v>
      </c>
      <c r="C607" s="304"/>
      <c r="D607" s="305"/>
      <c r="E607" s="306"/>
      <c r="F607" s="306"/>
      <c r="G607" s="307"/>
      <c r="I607" s="405"/>
    </row>
    <row r="608" spans="1:13" s="323" customFormat="1" ht="18.75" customHeight="1">
      <c r="A608" s="579" t="s">
        <v>496</v>
      </c>
      <c r="B608" s="580"/>
      <c r="C608" s="580"/>
      <c r="D608" s="580"/>
      <c r="E608" s="580"/>
      <c r="F608" s="580"/>
      <c r="G608" s="581"/>
    </row>
    <row r="609" spans="1:7" s="323" customFormat="1" ht="20.25" customHeight="1">
      <c r="A609" s="579" t="s">
        <v>497</v>
      </c>
      <c r="B609" s="580"/>
      <c r="C609" s="580"/>
      <c r="D609" s="580"/>
      <c r="E609" s="580"/>
      <c r="F609" s="580"/>
      <c r="G609" s="581"/>
    </row>
    <row r="610" spans="1:7" s="323" customFormat="1" ht="16.5" customHeight="1">
      <c r="A610" s="302"/>
      <c r="B610" s="303" t="s">
        <v>498</v>
      </c>
      <c r="C610" s="304"/>
      <c r="D610" s="305"/>
      <c r="E610" s="306"/>
      <c r="F610" s="306"/>
      <c r="G610" s="307"/>
    </row>
    <row r="611" spans="1:7" s="315" customFormat="1" ht="9.75" customHeight="1">
      <c r="A611" s="302"/>
      <c r="B611" s="303"/>
      <c r="C611" s="293"/>
      <c r="D611" s="294"/>
      <c r="E611" s="295"/>
      <c r="F611" s="295"/>
      <c r="G611" s="308"/>
    </row>
    <row r="612" spans="1:7" s="315" customFormat="1" ht="9.75" customHeight="1">
      <c r="A612" s="302"/>
      <c r="B612" s="303"/>
      <c r="C612" s="293"/>
      <c r="D612" s="294"/>
      <c r="E612" s="295"/>
      <c r="F612" s="295"/>
      <c r="G612" s="308"/>
    </row>
    <row r="613" spans="1:7" s="315" customFormat="1" ht="9.75" customHeight="1">
      <c r="A613" s="302"/>
      <c r="B613" s="303"/>
      <c r="C613" s="293"/>
      <c r="D613" s="294"/>
      <c r="E613" s="295"/>
      <c r="F613" s="295"/>
      <c r="G613" s="308"/>
    </row>
    <row r="614" spans="1:7" s="315" customFormat="1" ht="9.75" customHeight="1">
      <c r="A614" s="302"/>
      <c r="B614" s="303"/>
      <c r="C614" s="293"/>
      <c r="D614" s="294"/>
      <c r="E614" s="295"/>
      <c r="F614" s="295"/>
      <c r="G614" s="308"/>
    </row>
    <row r="615" spans="1:7" s="315" customFormat="1" ht="21" customHeight="1">
      <c r="A615" s="600" t="s">
        <v>499</v>
      </c>
      <c r="B615" s="601"/>
      <c r="C615" s="602" t="s">
        <v>500</v>
      </c>
      <c r="D615" s="602"/>
      <c r="E615" s="602"/>
      <c r="F615" s="602"/>
      <c r="G615" s="603"/>
    </row>
    <row r="616" spans="1:7" s="315" customFormat="1" ht="9.75" customHeight="1">
      <c r="A616" s="309"/>
      <c r="B616" s="310"/>
      <c r="C616" s="311"/>
      <c r="D616" s="311"/>
      <c r="E616" s="311"/>
      <c r="F616" s="311"/>
      <c r="G616" s="312"/>
    </row>
    <row r="617" spans="1:7" s="315" customFormat="1" ht="20.25" customHeight="1">
      <c r="A617" s="589" t="s">
        <v>507</v>
      </c>
      <c r="B617" s="590"/>
      <c r="C617" s="591" t="s">
        <v>508</v>
      </c>
      <c r="D617" s="591"/>
      <c r="E617" s="591"/>
      <c r="F617" s="591"/>
      <c r="G617" s="592"/>
    </row>
    <row r="618" spans="1:7" s="315" customFormat="1" ht="8.25" customHeight="1">
      <c r="A618" s="313"/>
      <c r="B618" s="314"/>
      <c r="C618" s="293"/>
      <c r="D618" s="294"/>
      <c r="E618" s="295"/>
      <c r="F618" s="295"/>
      <c r="G618" s="308"/>
    </row>
    <row r="619" spans="1:7" s="315" customFormat="1" ht="8.25" customHeight="1">
      <c r="A619" s="313"/>
      <c r="B619" s="314"/>
      <c r="C619" s="293"/>
      <c r="D619" s="294"/>
      <c r="E619" s="295"/>
      <c r="F619" s="295"/>
      <c r="G619" s="308"/>
    </row>
    <row r="620" spans="1:7" s="315" customFormat="1" ht="8.25" customHeight="1">
      <c r="A620" s="313"/>
      <c r="B620" s="314"/>
      <c r="C620" s="293"/>
      <c r="D620" s="294"/>
      <c r="E620" s="295"/>
      <c r="F620" s="295"/>
      <c r="G620" s="308"/>
    </row>
    <row r="621" spans="1:7" s="315" customFormat="1" ht="18.75" customHeight="1">
      <c r="A621" s="593" t="s">
        <v>501</v>
      </c>
      <c r="B621" s="594"/>
      <c r="C621" s="594"/>
      <c r="D621" s="594"/>
      <c r="E621" s="594"/>
      <c r="F621" s="594"/>
      <c r="G621" s="595"/>
    </row>
    <row r="622" spans="1:7" s="315" customFormat="1" ht="20.25" customHeight="1">
      <c r="A622" s="313"/>
      <c r="B622" s="314"/>
      <c r="C622" s="293"/>
      <c r="D622" s="294"/>
      <c r="E622" s="295"/>
      <c r="F622" s="295"/>
      <c r="G622" s="308"/>
    </row>
    <row r="623" spans="1:7" s="315" customFormat="1" ht="20.25" customHeight="1">
      <c r="A623" s="596" t="s">
        <v>502</v>
      </c>
      <c r="B623" s="597"/>
      <c r="C623" s="597"/>
      <c r="D623" s="597"/>
      <c r="E623" s="597"/>
      <c r="F623" s="597"/>
      <c r="G623" s="598"/>
    </row>
    <row r="624" spans="1:7" ht="18.75" thickBot="1">
      <c r="A624" s="576" t="s">
        <v>503</v>
      </c>
      <c r="B624" s="577"/>
      <c r="C624" s="577"/>
      <c r="D624" s="577"/>
      <c r="E624" s="577"/>
      <c r="F624" s="577"/>
      <c r="G624" s="578"/>
    </row>
    <row r="625" ht="15.75" thickTop="1"/>
  </sheetData>
  <mergeCells count="18">
    <mergeCell ref="H16:H17"/>
    <mergeCell ref="A606:G606"/>
    <mergeCell ref="A608:G608"/>
    <mergeCell ref="A615:B615"/>
    <mergeCell ref="C615:G615"/>
    <mergeCell ref="A624:G624"/>
    <mergeCell ref="A609:G609"/>
    <mergeCell ref="A1:G1"/>
    <mergeCell ref="B2:G2"/>
    <mergeCell ref="B3:G3"/>
    <mergeCell ref="B6:D6"/>
    <mergeCell ref="E6:G6"/>
    <mergeCell ref="B7:G7"/>
    <mergeCell ref="B8:F8"/>
    <mergeCell ref="A617:B617"/>
    <mergeCell ref="C617:G617"/>
    <mergeCell ref="A621:G621"/>
    <mergeCell ref="A623:G623"/>
  </mergeCells>
  <printOptions horizontalCentered="1" verticalCentered="1"/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PRESUPUESTO</vt:lpstr>
      <vt:lpstr>Brig</vt:lpstr>
      <vt:lpstr>madera</vt:lpstr>
      <vt:lpstr>caseta materiales</vt:lpstr>
      <vt:lpstr>otros</vt:lpstr>
      <vt:lpstr>ana A1</vt:lpstr>
      <vt:lpstr>ALOJAMIENTO A</vt:lpstr>
      <vt:lpstr>'ALOJAMIENTO A'!Área_de_impresión</vt:lpstr>
      <vt:lpstr>Brig!Área_de_impresión</vt:lpstr>
      <vt:lpstr>PRESUPUESTO!Área_de_impresión</vt:lpstr>
      <vt:lpstr>'ALOJAMIENTO A'!Títulos_a_imprimir</vt:lpstr>
      <vt:lpstr>PRESUPUESTO!Títulos_a_imprimir</vt:lpstr>
    </vt:vector>
  </TitlesOfParts>
  <Company>SEOPC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SANTO DOMINGO 2007-2008 jose miguel</dc:title>
  <dc:subject>ANALISIS DE COSTO</dc:subject>
  <dc:creator>JOSE MIGUEL</dc:creator>
  <cp:keywords>SOL</cp:keywords>
  <dc:description>MUCHO TRABAJO NOS COSTO ESTO.</dc:description>
  <cp:lastModifiedBy>Marcos Fabian Garcia Encarnacion</cp:lastModifiedBy>
  <cp:lastPrinted>2022-03-03T20:11:42Z</cp:lastPrinted>
  <dcterms:created xsi:type="dcterms:W3CDTF">2001-10-03T15:22:23Z</dcterms:created>
  <dcterms:modified xsi:type="dcterms:W3CDTF">2022-03-31T19:14:48Z</dcterms:modified>
  <cp:category>DATA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AL.PRIVADO --JOSE MIGUEL">
    <vt:lpwstr>100</vt:lpwstr>
  </property>
</Properties>
</file>